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85" activeTab="0"/>
  </bookViews>
  <sheets>
    <sheet name="file niêm yết" sheetId="1" r:id="rId1"/>
  </sheets>
  <definedNames>
    <definedName name="_xlnm._FilterDatabase" localSheetId="0" hidden="1">'file niêm yết'!$A$8:$I$8</definedName>
  </definedNames>
  <calcPr fullCalcOnLoad="1"/>
</workbook>
</file>

<file path=xl/sharedStrings.xml><?xml version="1.0" encoding="utf-8"?>
<sst xmlns="http://schemas.openxmlformats.org/spreadsheetml/2006/main" count="1468" uniqueCount="609">
  <si>
    <t>CỘNG HÒA XÃ HỘI CHỦ NGHĨA VIỆT NAM</t>
  </si>
  <si>
    <t>Độc lập - Tự do - Hạnh phúc</t>
  </si>
  <si>
    <t>ĐVT</t>
  </si>
  <si>
    <t>UBND THÀNH PHỐ TÂY NINH</t>
  </si>
  <si>
    <r>
      <t>m</t>
    </r>
    <r>
      <rPr>
        <vertAlign val="superscript"/>
        <sz val="12"/>
        <rFont val="Times New Roman"/>
        <family val="1"/>
      </rPr>
      <t>2</t>
    </r>
  </si>
  <si>
    <t>DỰ THẢO PHƯƠNG ÁN  BỒI THƯỜNG, HỖ TRỢ</t>
  </si>
  <si>
    <t>Cộng</t>
  </si>
  <si>
    <t>Mái che khung sắt tiền chế: mái tôn, không vách, nền xi măng</t>
  </si>
  <si>
    <t>TRUNG TÂM PHÁT TRIỂN QUỸ ĐẤT</t>
  </si>
  <si>
    <t>Địa điểm: Phường 2, thành phố Tây Ninh</t>
  </si>
  <si>
    <t>STT</t>
  </si>
  <si>
    <t>HỌ VÀ TÊN</t>
  </si>
  <si>
    <t>HẠNG MỤC</t>
  </si>
  <si>
    <t>ĐƠN GIÁ</t>
  </si>
  <si>
    <t>KHỐI LƯỢNG</t>
  </si>
  <si>
    <t>GHI CHÚ</t>
  </si>
  <si>
    <t>CMND:</t>
  </si>
  <si>
    <t>Nguyễn Thị Huỳnh</t>
  </si>
  <si>
    <t>Ki ốt số 1: Móng gạch, cột gạch, tường gạch xây tô quét vôi, mái tôn, trần tôn lạnh, nền gạch men, cửa sắt kéo, mặt dựng tô đá rửa</t>
  </si>
  <si>
    <t>Ki ốt số 2: Móng gạch, cột gạch, tường gạch xây tô quét vôi, mái tôn, trần tôn lạnh, nền gạch men, cửa sắt kéo, mặt dựng tô đá rửa</t>
  </si>
  <si>
    <t>Nguyễn Quốc Hùng</t>
  </si>
  <si>
    <t>Nguyễn Tăng Bảo</t>
  </si>
  <si>
    <t>Ki ốt số 3: Móng gạch, cột gạch, tường gạch xây tô sơn bê, mái tôn, trần tôn lạnh, nền gạch men, cửa sắt kéo, mặt dựng sơn bê</t>
  </si>
  <si>
    <t>Ki ốt số 4: Móng gạch, cột gạch, tường gạch xây tô sơn bê, mái tôn, trần tôn lạnh, nền gạch men, cửa sắt kéo, mặt dựng sơn bê</t>
  </si>
  <si>
    <r>
      <t>m</t>
    </r>
    <r>
      <rPr>
        <vertAlign val="superscript"/>
        <sz val="12"/>
        <rFont val="Times New Roman"/>
        <family val="1"/>
      </rPr>
      <t>2</t>
    </r>
  </si>
  <si>
    <t>Khung nhôm kính (khung nhôm sơn tĩnh điện)</t>
  </si>
  <si>
    <t>Huỳnh Ngọc Anh (người đại diện đứng hợp đồng thuê là ông Trần Đức Thọ)</t>
  </si>
  <si>
    <t>ĐT: 0908096852</t>
  </si>
  <si>
    <t>Ki ốt số 5: Móng gạch, cột gạch, tường gạch xây tô sơn bê, mái tôn, trần ván gỗ, nền gạch men, cửa sắt kéo, mặt dựng sơn bê</t>
  </si>
  <si>
    <t>ĐT: 0888654393</t>
  </si>
  <si>
    <t>Ki ốt số 6: Móng gạch, cột gạch, tường gạch xây tô quét vôi, mái tôn, trần tôn lạnh, nền gạch bông, cửa sắt kéo, mặt dựng tô đá rửa</t>
  </si>
  <si>
    <t>Mái che khung sắt tiền chế: mái tôn, có vách,  nền xi măng</t>
  </si>
  <si>
    <t>Mái che khung sắt tiền chế: mái tôn, không vách,  nền xi măng</t>
  </si>
  <si>
    <t>ĐT: 0913822319</t>
  </si>
  <si>
    <t>ĐT: 0938626254</t>
  </si>
  <si>
    <t>Tự xây dựng:</t>
  </si>
  <si>
    <t>Đỗ Thị Toan</t>
  </si>
  <si>
    <t>CMND: 290471412</t>
  </si>
  <si>
    <t>ĐT: 0908149445</t>
  </si>
  <si>
    <t>Trần Thị Loan</t>
  </si>
  <si>
    <t>CMND: 290016399</t>
  </si>
  <si>
    <t>Mái hiên di động</t>
  </si>
  <si>
    <t>Trần Thị Lan (chết)</t>
  </si>
  <si>
    <t>ĐT: 0913603696</t>
  </si>
  <si>
    <t>Ki ốt số 7: Móng gạch, cột gạch, tường gạch xây tô sơn bê, mặt dựng tô đá rửa, mái tôn, trần ván ép, nền gạch bông, cửa sắt kéo</t>
  </si>
  <si>
    <t>cái</t>
  </si>
  <si>
    <t>Huỳnh Tuyết Vân</t>
  </si>
  <si>
    <t>CMND: 290471636</t>
  </si>
  <si>
    <t>ĐT: 0966879807</t>
  </si>
  <si>
    <t xml:space="preserve">Ki ốt số 3: Móng gạch, cột gạch, tường gạch xây tô quét vôi, mặt dựng tô đá rửa, mái tôn, trần không, nền gạch men, cửa sắt </t>
  </si>
  <si>
    <t>Nguyễn Thị Ngọc Hiệp</t>
  </si>
  <si>
    <t>CMND: 290011285</t>
  </si>
  <si>
    <t>ĐT: 0785380238; 02763824890</t>
  </si>
  <si>
    <t>Đặng Thị ngọc Mai</t>
  </si>
  <si>
    <t>ĐT: 0359954752</t>
  </si>
  <si>
    <t>Mái che khung sắt tiền chế: mái tôn, vách tôn, nền xi măng</t>
  </si>
  <si>
    <t>Lê Thị Tuyết</t>
  </si>
  <si>
    <t>Đại diện: Nguyễn Lê Thị Ngọc Thu (con)</t>
  </si>
  <si>
    <t>Nhà tạm: cột sắt, mái tôn, không trần, vách tôn, nền xi măng, cửa sắt</t>
  </si>
  <si>
    <t>Trần Quốc Cường</t>
  </si>
  <si>
    <t>ĐT: 0907381135</t>
  </si>
  <si>
    <t>Lâm Mỹ Ên</t>
  </si>
  <si>
    <t>ĐT: 02763822323</t>
  </si>
  <si>
    <t>CMND: 290014350</t>
  </si>
  <si>
    <t>Nguyễn Thị Phi Phượng</t>
  </si>
  <si>
    <t>ĐT: 0919265152</t>
  </si>
  <si>
    <t>Em trai: Nguyễn Phi Cường</t>
  </si>
  <si>
    <t>Hàng rào khung lưới B40, trụ sắt, không xây chân</t>
  </si>
  <si>
    <t>Nguyễn Văn Quang</t>
  </si>
  <si>
    <t>ĐT: 0986697785</t>
  </si>
  <si>
    <t>CMND: 290524999</t>
  </si>
  <si>
    <t>Lưu Thị Cẩm Nhung</t>
  </si>
  <si>
    <t>ĐT: 0918239802</t>
  </si>
  <si>
    <t>CMND: 290009940</t>
  </si>
  <si>
    <t>Nguyễn Thị Thiên Lý</t>
  </si>
  <si>
    <t>ĐT: 0792681889</t>
  </si>
  <si>
    <t>CMND: 290514395</t>
  </si>
  <si>
    <t>Ki ốt số 14: móng gạch, cột gạch, tường gạch xây tô sơn bê, mái tôn, trần tôn lạnh, nền gạch bông, cửa sắt kéo</t>
  </si>
  <si>
    <t>Lưu Thị Cẩm Vân</t>
  </si>
  <si>
    <t>ĐT: 0943638126</t>
  </si>
  <si>
    <t>CMND: 29048844</t>
  </si>
  <si>
    <t>Ki ốt số 9: móng gạch, cột gạch, tường gạch xây tô quét vôi, mặt dựng tô đá rửa, mái tôn, trần gỗ tạp, nền gạch bông, cửa sắt</t>
  </si>
  <si>
    <t>Mái hiên di dộng</t>
  </si>
  <si>
    <t>Nguyễn Lâm Thiên Kim</t>
  </si>
  <si>
    <t>ĐT: 0906646596</t>
  </si>
  <si>
    <t>CMND: 290395126</t>
  </si>
  <si>
    <t>Bành Văn Em (chết)</t>
  </si>
  <si>
    <t>Đại diện: Huỳnh Thị Bình (vợ)</t>
  </si>
  <si>
    <t>CMND: 290293410</t>
  </si>
  <si>
    <t>ĐT: 0372405902</t>
  </si>
  <si>
    <t>Mái che khung sắt tiền chế: mái tôn, có vách, nền xi măng</t>
  </si>
  <si>
    <t>ĐT: 02763822986</t>
  </si>
  <si>
    <t>Ki ốt số 22: móng gạch, cột gạch, tường gạch xây tô quét vôi, mặt dựng tô đá rửa, mái tôn, trần tôn lạnh, nền gạch men, cửa sắt kéo</t>
  </si>
  <si>
    <t>Nguyễn Đức Hạnh</t>
  </si>
  <si>
    <t>ĐT: 0913823066</t>
  </si>
  <si>
    <t>Nguyễn Thị Sự</t>
  </si>
  <si>
    <t>ĐT: 0982787456</t>
  </si>
  <si>
    <t>Lâm Thị Hiếu</t>
  </si>
  <si>
    <t>ĐT: 0919078197</t>
  </si>
  <si>
    <t>CMND: 290020373</t>
  </si>
  <si>
    <t xml:space="preserve">Mái che khung sắt tiền chế: mái tôn, vách tôn, cửa sắt kéo, nền xi măng + gạch bông </t>
  </si>
  <si>
    <t>Trần Thị Ánh</t>
  </si>
  <si>
    <t>ĐT: 0933959882</t>
  </si>
  <si>
    <t>Đại diện: Trần Thị Sương</t>
  </si>
  <si>
    <t>CMND: 290013064</t>
  </si>
  <si>
    <t>Nguyễn Nhật Quyền</t>
  </si>
  <si>
    <t>CMND: 291061857</t>
  </si>
  <si>
    <t>Nguyễn Thị Hồng Vân</t>
  </si>
  <si>
    <t>ĐT: 0949160077</t>
  </si>
  <si>
    <t>Thái Thị Hồng (chết)</t>
  </si>
  <si>
    <t>ĐT: 0903381499</t>
  </si>
  <si>
    <t>Ki ốt số 8: Móng gạch, cột gạch, tường gạch xây tô quét vôi + sơn bê, mặt dựng tô đá rửa, mái tôn, nền gạch bông, cửa sắt kéo</t>
  </si>
  <si>
    <t>Nguyễn Thị Hoa Tươi</t>
  </si>
  <si>
    <t>ĐT: 0919240400</t>
  </si>
  <si>
    <t>Lâm Phết Ênh (chết)</t>
  </si>
  <si>
    <t>Đại diện: Trần Thị Tài (con)</t>
  </si>
  <si>
    <t xml:space="preserve">Đại diện: Nguyễn Lâm Thiên Kim </t>
  </si>
  <si>
    <t>Ki ốt số 17, ki ốt số 18: móng gạch, cột gạch, tường gạch xây tô quét vôi, tô đá rửa, mái tôn, trần ván ép, nền gạch bông, cửa sắt kéo.</t>
  </si>
  <si>
    <t>ĐT: 0937582635</t>
  </si>
  <si>
    <t>Ki ốt số 21: Móng gạch, cột gạch, tường gạch xây tô quét vôi, mặt dựng tô đá rửa, mái tôn, trần tôn lạnh, nền gạch bông, cửa sắt kéo</t>
  </si>
  <si>
    <t>Ki ốt số 20: móng gạch, cột gạch, tường gạch xây tô quét vôi, mặt dựng tô đá rửa, mái tôn, trần tôn lạnh, nền gạch men, cửa sắt kéo</t>
  </si>
  <si>
    <t>Nguyễn Bá Lợi</t>
  </si>
  <si>
    <t>ĐT: 0352577555</t>
  </si>
  <si>
    <t>Ki ốt số 48: móng gạch, cột gạch, tường gạch xây tô quét vôi, mái tôn, trần ván ép, nền gạch men, cửa sắt kéo</t>
  </si>
  <si>
    <t>Đồng hồ nước</t>
  </si>
  <si>
    <t>Trương Thanh Hoàng</t>
  </si>
  <si>
    <t>ĐT: 0944567575</t>
  </si>
  <si>
    <t>Ki ốt số 45 (theo sơ dồ): móng gạch, cột gạch, tường gạch xây tô quét vôi, mái tôn, không trần, nền gạch bông, cửa sắt kéo</t>
  </si>
  <si>
    <t>Hỗ trợ di dời nhôm kính</t>
  </si>
  <si>
    <t>Nhà vệ sinh: móng gạch, cột gạch, mái tôn, không trần, tường gạch xây tô quét vôi, nền gạch men, không cửa, không có thiết bị vệ sinh</t>
  </si>
  <si>
    <t>Trương Thị Kim Yến</t>
  </si>
  <si>
    <t>ĐT: 0975071079</t>
  </si>
  <si>
    <t>Ki ốt số 46: móng gạch, cột gạch, tường gạch xây tô quét vôi, mái tôn, trần tôn lạnh, nền gạch men, cửa tôn khung sắt</t>
  </si>
  <si>
    <t>Trần Thị Phương Trang</t>
  </si>
  <si>
    <t>ĐT: 0961992583</t>
  </si>
  <si>
    <t>CMND: 290835350</t>
  </si>
  <si>
    <t>Ki ốt trước: móng gạch, cột gạch, tường gạch xây tô quét vôi, mái tôn, trần tôn lạnh, nền gạch bông, cửa sắt kéo</t>
  </si>
  <si>
    <t>Phan Thị Ngon (chết)</t>
  </si>
  <si>
    <t xml:space="preserve">Đại diện: Nguyễn Thanh Liêm </t>
  </si>
  <si>
    <t>ĐT: 0937191183</t>
  </si>
  <si>
    <t>Ki ốt 43: móng gạch, cột gạch, tường gạch xây tô quét vôi, mái tôn, không trần, nền gạch bông, cửa sắt kéo</t>
  </si>
  <si>
    <t>Trần Thị Kim Loan</t>
  </si>
  <si>
    <t>ĐT: 0386533133</t>
  </si>
  <si>
    <t>Nhà tạm: khung sắt tiền chế, mái tôn, trần tôn lạnh, vách tôn, nền gạch men, cửa sắt kéo</t>
  </si>
  <si>
    <t>Khung sắt tiền chế: mái tôn, không vách, nền xi măng</t>
  </si>
  <si>
    <t>Lê Quốc Cường</t>
  </si>
  <si>
    <t>ĐT: 0937477885</t>
  </si>
  <si>
    <t>Trần Thị Ngọc Lan</t>
  </si>
  <si>
    <t>CMND: 021953668</t>
  </si>
  <si>
    <t>ĐT: 0798120249</t>
  </si>
  <si>
    <t>Ki ốt số 32: móng gạch, cột gạch, tường gạch xây tô quét vôi, mái tôn, trần tôn lạnh, cửa sắt kéo, nền gạch men</t>
  </si>
  <si>
    <t>Gác lửng gỗ (của ki ốt)</t>
  </si>
  <si>
    <t>Mái che khung sắt tiền chế: mái tôn, không vách, nền gạch men + xi măng</t>
  </si>
  <si>
    <t>Thân Quốc Tuấn</t>
  </si>
  <si>
    <t>ĐT: 0979356152</t>
  </si>
  <si>
    <t>Ki ốt số 30: móng gạch, cột gạch, tường gạch xây tô quét vôi, mái tôn, trần tôn lạnh, cửa sắt kính, nền gạch bông</t>
  </si>
  <si>
    <t>Nhà tạm: Mái che khung sắt tiền chế: mái tôn, vách tường có tô, nền gạch bông, cửa sắt kéo, móng gạch, cột gạch</t>
  </si>
  <si>
    <t>Mái che khung sắt tiền chế: mái tôn, có vách, nền gạch bông + xi măng</t>
  </si>
  <si>
    <t>Võ Minh Châu</t>
  </si>
  <si>
    <t>ĐT: 0921034869 (chú Thơm) - 0962437157</t>
  </si>
  <si>
    <t>CMND: 290012586</t>
  </si>
  <si>
    <t>Nhà tạm (nhà tự xây dựng trên đất công):  cột sắt, khung sắt, mái tôn, không trần, vách tường lửng + tôn</t>
  </si>
  <si>
    <t>Lê Hồng Quân</t>
  </si>
  <si>
    <t>ĐT: 0348221626</t>
  </si>
  <si>
    <t>CMND: 290011748</t>
  </si>
  <si>
    <t>Nền xi măng</t>
  </si>
  <si>
    <t>Nhà tạm: cột gỗ, kèo gỗ, mái tôn, không trần, vách tôn + tường lửng cao 0,5 m (nhờ 2 vách), nền xi măng, cửa gỗ</t>
  </si>
  <si>
    <t>Võ Thị Tắc</t>
  </si>
  <si>
    <t>ĐT: 0979282552 (A. Đạt)</t>
  </si>
  <si>
    <t>Kho lạnh: đồng họp vuông bằng sắt</t>
  </si>
  <si>
    <t>Nguyễn Văn Kỳ</t>
  </si>
  <si>
    <t>ĐT: 0397994252 (chị Lan) - 0862093252</t>
  </si>
  <si>
    <t>Nhà tạm tự xây: nền đất, khung kèo gỗ, mái tôn, vách tôn, nẹp gỗ</t>
  </si>
  <si>
    <t>Võ Văn Sơn</t>
  </si>
  <si>
    <t>ĐT: 0913955216</t>
  </si>
  <si>
    <t>Nhà cấp 4: móng gạch, cột gạch, tường gạch xây tô quét vôi, mái tôn, trần nhựa, nền gạch men, cửa sắt kính (không có nhà vệ sinh trong nhà)</t>
  </si>
  <si>
    <t>Nhà cấp 4: móng gạch, cột gạch, tường gạch xây tô quét vôi, mái tôn, không trần, nền xi măng, có nhà vệ sinh trong nhà</t>
  </si>
  <si>
    <t>Mái che khung sắt tiền chế: mái tôn, không vách, nền gạch bông</t>
  </si>
  <si>
    <t>Nguyễn Thị Kim Phụng</t>
  </si>
  <si>
    <t>ĐT: 0373759554</t>
  </si>
  <si>
    <t>Nhà tạm: khung sắt tiền chế: mái tôn, vách tôn, nền xi măng, cột sắt, cửa tôn</t>
  </si>
  <si>
    <t>Lê Thị Thanh Thúy</t>
  </si>
  <si>
    <t>ĐT: 0975042844</t>
  </si>
  <si>
    <t>Nhà vệ sinh: móng gạch, cột gạch, tường gạch xây không tô, nền gạch men, mái tôn, cửa nhôm</t>
  </si>
  <si>
    <t>Nguyễn Thị Yến</t>
  </si>
  <si>
    <t>ĐT: 0937801291</t>
  </si>
  <si>
    <t>Nhà cấp 4: Móng gạch, cột gạch, tường gạch xây tô quét vôi, mái tôn, không trần, nền gạch men, cửa sắt, có nhà vệ sinh trong nhà</t>
  </si>
  <si>
    <t>Phạm Thị Đậu</t>
  </si>
  <si>
    <t>ĐT: 0379289349</t>
  </si>
  <si>
    <t>Nhà tạm: khung sắt tiền chế, mái tôn, cột sắt, vách tôn, không trần, nền xi măng, cửa sắt kéo</t>
  </si>
  <si>
    <t>Nhà tạm: khung sắt tiền chế, mái tôn, vách tôn, không trần, nền xi măng, cột sắt, cửa tôn + sắt kéo</t>
  </si>
  <si>
    <t>Nhà vệ sinh riêng biệt: tường gạch xây tô, mái tôn, nền gạch men, cửa gỗ, không có thiết bị vệ sinh</t>
  </si>
  <si>
    <t>Mái che khung sắt tiền chế: mái tôn, không vách, nền gạch men</t>
  </si>
  <si>
    <t>Khung sắt tiền chế: mái tôn, có vách, nền xi măng</t>
  </si>
  <si>
    <t>Mái che khung sắt: mái tôn, vách tường, nền gạch bông</t>
  </si>
  <si>
    <t>Mái che khung sắt: mái tôn, không vách, nền xi măng</t>
  </si>
  <si>
    <t>Mái che khung gỗ: mái tôn, không vách, nền xi măng</t>
  </si>
  <si>
    <t>Mái che: cột gỗ, khung gỗ, mái tôn, không vách, nền xi măng</t>
  </si>
  <si>
    <t>Nhà tạm: khung sắt tiền chế, cột sắt, mái tôn, trần tôn lạnh, nền xi măng, vách tôn, cửa sắt kéo</t>
  </si>
  <si>
    <t>Nhà tạm: mái tôn, vách gỗ, nền gạch men, cửa gỗ</t>
  </si>
  <si>
    <t>Ki ốt số 8: Móng gạch, cột gạch, tường gạch xây tô quét vôi, mặt dựng tô đá rửa, mái tôn, không trần, nền gạch men, cửa sắt</t>
  </si>
  <si>
    <t>Ki ốt số 10: móng gạch, cột gạch, tường gạch xây tô quét vôi, mặt dựng tô đá rửa, mái tôn, không trần, nền gạch men, cửa sắt</t>
  </si>
  <si>
    <t>Ki ốt số 15: Móng gạch, cột gạch, tường gạch xây tô sơn bê, mái tôn, trần tôn lạnh, cửa sắt, nền gạch bông.</t>
  </si>
  <si>
    <t>Ki ốt số 16: Móng gạch, cột gạch, tường gạch xây tô quét vôi, mặt dựng tô đá rửa, không trần, nền gạch men, cửa sắt kéo</t>
  </si>
  <si>
    <t>Hồ Tuấn Anh</t>
  </si>
  <si>
    <t>ĐT: 0938392881</t>
  </si>
  <si>
    <t>Ki ốt số 49: Móng gạch, cột gạch, tường gạch xây tô quét vôi, mái tôn, trần ván ép, nền gạch bông, cửa sắt kéo.</t>
  </si>
  <si>
    <t>Mái che khung gỗ tiền chế: mái tôn, không vách, nền đất</t>
  </si>
  <si>
    <t>Tường xây gạch ống không tô</t>
  </si>
  <si>
    <r>
      <t>m</t>
    </r>
    <r>
      <rPr>
        <vertAlign val="superscript"/>
        <sz val="12"/>
        <rFont val="Times New Roman"/>
        <family val="1"/>
      </rPr>
      <t>3</t>
    </r>
  </si>
  <si>
    <t>Mái che khung gỗ tiền chế: mái tôn, vách tôn, khung gỗ, nền xi măng</t>
  </si>
  <si>
    <t>Mái che khung gỗ tiền chế: mái tôn, không vách, nền xi măng</t>
  </si>
  <si>
    <t>Ngô Anh Quyền</t>
  </si>
  <si>
    <t>ĐT: 0933549319</t>
  </si>
  <si>
    <t>Nhà cấp 4: Móng gạch, cột gạch, tường xây gạch có tô, có dán tường, mái tôn, trần tôn lạnh, nền gạch men, cửa sắt kính, không có nhà vệ sinh trong nhà</t>
  </si>
  <si>
    <t>Mái che khung sắt tiền chế: Mái tôn, không vách, nền xi măng</t>
  </si>
  <si>
    <t>Nhà cấp 4: Móng gạch, cột gạch, mái tôn, không trần, tường xây gạch có tô quét vôi (nhờ 1 vách), nền gạch men, cửa sắt, có nhà vệ sinh trong nhà</t>
  </si>
  <si>
    <t>Nguyễn Quốc Thái</t>
  </si>
  <si>
    <t>ĐT: 09845433601</t>
  </si>
  <si>
    <t>Mái che khung sắt tiền chế: Mái tôn, có vách, nền xi măng</t>
  </si>
  <si>
    <t>CCCD: 072059000255</t>
  </si>
  <si>
    <t>CCCD: 072065000826</t>
  </si>
  <si>
    <t>CCCD: 030077007092</t>
  </si>
  <si>
    <t>CCCD: 052156000089</t>
  </si>
  <si>
    <t>CCCD: 072174000188</t>
  </si>
  <si>
    <t>Nguyễn Thị Thu Hoài</t>
  </si>
  <si>
    <t>CCCD: 046169008458</t>
  </si>
  <si>
    <t>ĐT: 0972446777</t>
  </si>
  <si>
    <t>Nhà tạm: Mái tôn, khung sắt, vách tôn, nền gạch men, cửa sắt kéo</t>
  </si>
  <si>
    <t>Ngô Thị Bích Ngân</t>
  </si>
  <si>
    <t>Nhà cấp 4: Móng gạch, cột gạch, tường xây gạch có tô quét vôi, mái tôn, trần tôn lạnh, nền gạch men, cửa sắt kính, có nhà vệ sinh trong nhà</t>
  </si>
  <si>
    <t>Nhà tạm: khung sắt tiền chế, cột sắt, mái tôn, không trần, vách tôn, nền xi măng, cửa sắt kéo</t>
  </si>
  <si>
    <t>Mái che khung sắt tiền chế: không vách, nền xi măng</t>
  </si>
  <si>
    <t>Nhà cấp 4: móng gạch, cột gạch, tường gạch xây tô quét vôi, nền gạch men, mái tôn, cửa nhôm + kiếng</t>
  </si>
  <si>
    <t>Nhà cấp 4: móng gạch, cột gạch, mái tôn, tường gạch xây tô, nền gạch men, cửa nhôm</t>
  </si>
  <si>
    <t>Nhà cấp 4: móng gạch, cột gạch, tường gạch ống xây không tô (mượn 1 vách), mái tôn, không trần, nền xi măng, cửa sắt</t>
  </si>
  <si>
    <t>Nhà cấp 4: Móng gạch, cột gạch, mái tôn, không trần, tường xây gạch có tô quét vôi, nền gạch men.</t>
  </si>
  <si>
    <t>Gác lửng gỗ</t>
  </si>
  <si>
    <t>Nguyễn Thị Gái</t>
  </si>
  <si>
    <t>ĐT: 0919392227</t>
  </si>
  <si>
    <t>Nhà cấp 4: Móng gạch, cột gạch, tường xây gạch có tô quét vôi, mái tôn, không trần, nền gạch men</t>
  </si>
  <si>
    <t>Đinh Tiến Dũng</t>
  </si>
  <si>
    <t>Đ/c: Đường Nguyễn Văn Tốt, Khu phố 2, Phường 2, TPTN</t>
  </si>
  <si>
    <t>Đ/c: 152 Đường Võ Văn Truyện, Khu phố 3, Phường 2, TPTN</t>
  </si>
  <si>
    <t>Đ/c: 4/9 Đường Ngô Gia Tự, Khu phố 3, Phường 2, TPTN</t>
  </si>
  <si>
    <t>Đ/c: 152, Đường Võ Văn Truyện, Khu phố 3, Phường 2, TPTN</t>
  </si>
  <si>
    <t>Đ/c: Khu phố 1, thị trấn Châu Thành, huyện Châu Thành, Tây Ninh.</t>
  </si>
  <si>
    <t>Đ/c: Khu phố 2, Phường 3, thành phố Tây Ninh</t>
  </si>
  <si>
    <t>Đ/c: số 54 ấp Bình Trung, xã Bình Minh, thành phố Tây Ninh</t>
  </si>
  <si>
    <t>Đ/c: đường Nguyễn Chí Thanh, Khu phố 2, Phường 3, thành phố Tây Ninh</t>
  </si>
  <si>
    <t xml:space="preserve">Đ/c: số 145 đường Võ Văn Truyện, Khu phố 2, Phường 2, thành phố Tây Ninh </t>
  </si>
  <si>
    <t>Đ/c: số 129 đường CMT8, Khu phố 3, Phường 1, thành phố Tây Ninh</t>
  </si>
  <si>
    <t>Đ/c: số 126 đường Trần Hưng Đạo, Khu phố 3, Phường 2, thành phố Tây Ninh</t>
  </si>
  <si>
    <t>Đ/c: Khu phố 1, Phường 2, thành phố Tây Ninh</t>
  </si>
  <si>
    <t>Đ/c: số 08 đường B4, ấp Thanh Thuận, Thanh Điền, châu thành Tây Ninh.</t>
  </si>
  <si>
    <t>Đ/c: số 118 đường Huỳnh Công Nghệ, Khu phố 5,Phường 1, thành phố Tây Ninh.</t>
  </si>
  <si>
    <t>Đ/c: số 27 đường Phạm Văn Chiêu, Khu phố 1, Phường 2, thành phố Tây Ninh</t>
  </si>
  <si>
    <t>Đ/c: 070 đường Lê Lợi, Khu phố 4, Phường 3, thành phố Tây Ninh</t>
  </si>
  <si>
    <t>Đ/c: Khu phố 3, Phường 1, thành phố Tây Ninh</t>
  </si>
  <si>
    <t>Đ/c: số 36 đường số 2 Nguyễn Văn Linh, Long Thành Bắc, Hòa Thành Tây Ninh.</t>
  </si>
  <si>
    <t>Đ/c: Số 50 đường Phạm Văn Chiêu, Khu phố 2, Phường 2, thành phố Tây Ninh</t>
  </si>
  <si>
    <t>Đ/c: Số 143 đường Huỳnh Công Nghệ, Khu phố 5, Phường 1, thành phố Tây Ninh</t>
  </si>
  <si>
    <t>Đ/c: số 60 đường Phạm Văn Chiêu, Khu phố 1, Phường 2, thành phố Tây Ninh</t>
  </si>
  <si>
    <t>Đ/c: số 181 đường Trưng Nữ Vương, Khu phố 5, Phường 1, thành phố Tây Ninh</t>
  </si>
  <si>
    <t>Đ/c: số 76 đường Nguyễn Đình Chiểu, Khu phố 2, Phường 2, thành phố Tây Ninh</t>
  </si>
  <si>
    <t>Đ/c: số 289 Khu phố 2, Phường 2, thành phố Tây Ninh</t>
  </si>
  <si>
    <t>Đ/c: số 192 đường Tua Hai, Phường 1, thành phố Tây Ninh</t>
  </si>
  <si>
    <t>Đ/c: Tổ 3, ấp Bình Long, xã Thái Bình, huyện Châu Thành Tây Ninh</t>
  </si>
  <si>
    <t>Đ/c: số 155/2 đường Phạm Văn Chiêu, Khu phố 1, Phường 2, thành phố Tây Ninh</t>
  </si>
  <si>
    <t>Đ/c: số 5 đường Võ Văn Truyện, Khu phố 1, Phường 2, thành phố Tây Ninh</t>
  </si>
  <si>
    <t>Đ/c: Số C155/2 Khu phố 1, Phường 2, thành phố Tây Ninh</t>
  </si>
  <si>
    <t>Đ/c: Khu phố 2, Phường 2, thành phố Tây Ninh</t>
  </si>
  <si>
    <t>Đ/c: số 93 đường Ngô Gia Tự, Khu phố 2, Phường 2, thành phố Tây Ninh</t>
  </si>
  <si>
    <t>Đ/c: số 27/2 đường Yết Kiêu, Khu phố 2, Phường 2, thành phố Tây Ninh</t>
  </si>
  <si>
    <t>Đ/c: số 210 đường Trần Hưng Đạo, Khu phố 1, Phường 1, thành phố Tây Ninh</t>
  </si>
  <si>
    <t>Đ/c: số 4/2 đường 30/4 hẻm 20, Khu phố 4, Phường 2, thành phố Tây Ninh</t>
  </si>
  <si>
    <t>Đ/c: số 112 đường Võ Văn Truyện, Khu phố 1, Phường 2, thành phố Tây Ninh</t>
  </si>
  <si>
    <t>Đ/c: Thanh điền, Châu Thành, Tây Ninh</t>
  </si>
  <si>
    <t>Đ/c: Số C189 Khu phố 1, Phường 2, thành phố Tây Ninh</t>
  </si>
  <si>
    <t>Đ/c: Võ Văn Truyện, Khu phố 1, Phường 2, TPTN</t>
  </si>
  <si>
    <t>Đ/c: Khu phố 1, Phường 2, TPTN</t>
  </si>
  <si>
    <t>Đ/c: C189/2 Khu phố 1, Phường 2, TPTN</t>
  </si>
  <si>
    <t>Đ/c: 15 Đặng Ngọc Chinh, Khu phố 5, Phường 3, TPTN</t>
  </si>
  <si>
    <t>Đ/c: Khu phố 5, Phường 1, TPTN</t>
  </si>
  <si>
    <t>Đ/c: 431 đường Phạm Văn Đồng, Hiệp Hòa, Hiệp Tân, Hòa Thành, TN</t>
  </si>
  <si>
    <t>Nguyễn Tấn Đức</t>
  </si>
  <si>
    <t>Đ/c: 83 Phạm Văn Chiêu, Khu phố 1, Phường 2, TPTN</t>
  </si>
  <si>
    <t>ĐT: 0369323305</t>
  </si>
  <si>
    <t>Nguyễn Thị Yến Ly</t>
  </si>
  <si>
    <t>Đ/c: Số 4, hẻm 3 đường Trưng Nữ Vương, Khu phố 5, Phường 1, TPTN</t>
  </si>
  <si>
    <t>ĐT: 0918623539</t>
  </si>
  <si>
    <t>Đ/c: 156 Võ Văn Truyện, Khu phố 1, Phường 2, TPTN</t>
  </si>
  <si>
    <t>ĐT: 0975229181</t>
  </si>
  <si>
    <t>Trương Thị Kim Cúc</t>
  </si>
  <si>
    <t>Thái Thị Hoa</t>
  </si>
  <si>
    <t>Đ/c:</t>
  </si>
  <si>
    <t>ĐT: 0779900891</t>
  </si>
  <si>
    <t>Mái che khung sắt tiền chế: mái tôn, trần nhựa, không vách, nền xi măng</t>
  </si>
  <si>
    <t>Bảng hiệu</t>
  </si>
  <si>
    <t>Đồng sở hữu: Võ Thiện Tú, Nguyễn Thị Yến Loan, Võ Thị Nga</t>
  </si>
  <si>
    <t>Đ/c: 106 đường Phạm Văn Chiêu, Khu phố 1, Phường 2, TPTN</t>
  </si>
  <si>
    <t>ĐT: 0946456778</t>
  </si>
  <si>
    <t>Mái che khung sắt tiền chế: mái tôn, vách lưới B40, nền gạch tàu</t>
  </si>
  <si>
    <t>Đ/C:</t>
  </si>
  <si>
    <t>ĐT: 0388159345</t>
  </si>
  <si>
    <t>Lê Thị Rẻ</t>
  </si>
  <si>
    <t>Hàng rào lưới B40, trụ sắt, không xây chân</t>
  </si>
  <si>
    <t>Nền gạch tàu</t>
  </si>
  <si>
    <t>ĐT: 0918623690</t>
  </si>
  <si>
    <t>chậu</t>
  </si>
  <si>
    <t>Lê Thị Do</t>
  </si>
  <si>
    <t>Nguyễn Thị Hồng Hạnh</t>
  </si>
  <si>
    <t>Trụ bê tông cốt thép</t>
  </si>
  <si>
    <t>trụ</t>
  </si>
  <si>
    <t>ĐT: 0984990415</t>
  </si>
  <si>
    <t>Trần Triệu Kim Loan</t>
  </si>
  <si>
    <t>CMND: 072188005711</t>
  </si>
  <si>
    <t>ĐT: 0986510029</t>
  </si>
  <si>
    <t>Lưu Thị Nuối</t>
  </si>
  <si>
    <t>Nhà cấp 4: móng gạch, cột gạch, tường xây gạch sơn bê, mái tôn, trần tôn lạnh, nền gạch men, cửa sắt cuốn, có nhà vệ sinh trong nhà</t>
  </si>
  <si>
    <t>ĐT: 0976291235</t>
  </si>
  <si>
    <t>Nguyễn Thị Mẫn</t>
  </si>
  <si>
    <t>CMND: 072161005316</t>
  </si>
  <si>
    <t>Nền gạch bông + xi măng</t>
  </si>
  <si>
    <t>cây</t>
  </si>
  <si>
    <t>ĐT: 0919280628</t>
  </si>
  <si>
    <t>ĐT: 0909476672</t>
  </si>
  <si>
    <t>Mái che khung sắt tiền chế: mái tôn, không vách, nền xi măng + gạch men</t>
  </si>
  <si>
    <t>Đ/C: số 50 đường Phạm Văn Chiêu, Khu phố 1, Phường 2, thành phố Tây Ninh</t>
  </si>
  <si>
    <t>ĐT: 0852717139</t>
  </si>
  <si>
    <t>Trần Thị Sương</t>
  </si>
  <si>
    <t>Mái che khung sắt tiền chế: mái tôn, vách tôn, nền xi măng + gạch men</t>
  </si>
  <si>
    <t>Đ/C: số 60 đường Phạm Văn Chiêu, Khu phố 1, Phường 2, thành phố Tây Ninh</t>
  </si>
  <si>
    <t>Mái che khung sắt tiền chế: mái tôn, 1 vách tôn, 1 vách mượn, nền xi măng + gạch men, cửa sắt kéo</t>
  </si>
  <si>
    <t>Nguyễn Lê Thị Ngọc Thu</t>
  </si>
  <si>
    <t>CMND: 072187004954</t>
  </si>
  <si>
    <t>Nhà cấp 4: móng gạch, cột gạch, tường xây gạch có tô + sơn bê, mái tôn, trần tôn lạnh, nền gạch men, cửa sắt kính</t>
  </si>
  <si>
    <t>Nguyễn Thị Trận</t>
  </si>
  <si>
    <t>Mái che khung sắt tiền chế: mái tôn, vách gạch lửng + lưới B40, nền gạch men, cửa sắt kéo</t>
  </si>
  <si>
    <t>Văn Ngọc Phụng</t>
  </si>
  <si>
    <t>CMND: 29008382</t>
  </si>
  <si>
    <t>Nhà cấp 4: móng gạch, cột gạch, tường gạch xây tô + sơn bê, mái tôn, trần tôn lạnh, nền gạch men, cửa sắt kéo, có nhà vệ sinh trong nhà</t>
  </si>
  <si>
    <t>Mái che khung sắt tiền chế: mái tôn, vách lưới B40, nền xi măng</t>
  </si>
  <si>
    <t>Đặng Trung Quân</t>
  </si>
  <si>
    <t>Mái che khung sắt tiền chế: mái tôn, vách lưới B40, cửa sắt cuốn</t>
  </si>
  <si>
    <t>ĐT: 0977218783</t>
  </si>
  <si>
    <t>Đ/c: số 9E đường Trương Tùng Quân, Khu phố 5, Phường 3, thành phố Tây Ninh</t>
  </si>
  <si>
    <t>Đ/c: số 11/7A Khu phố 4, thị trấn Hòa Thành, Tây Ninh</t>
  </si>
  <si>
    <t>Đ/c: số 159 XLHN, Phường Thảo Điền, Quận 2, TP Thủ Đức</t>
  </si>
  <si>
    <t>Đ/c: số 37 đường số 29, Khu phố Ninh Lộc, Phường Ninh Sơn, thành phố Tây Ninh</t>
  </si>
  <si>
    <t>Đ/c: số 15 đường số 6 Huỳnh Văn Thanh, Khu phố Ninh Lộc, Phường Ninh Sơn, thành phố Tây Ninh</t>
  </si>
  <si>
    <t>Đ/C: số 64 đường Phạm Văn Chiêu, Khu phố 1, Phường 2, thành phố Tây Ninh</t>
  </si>
  <si>
    <t>Đ/C: số 61 đường Phạm Văn Chiêu, Khu phố 1, Phường 2, thành phố Tây Ninh</t>
  </si>
  <si>
    <t>Đ/C: số 45A đường Phạm Văn Chiêu, Khu phố 1, Phường 2, thành phố Tây Ninh</t>
  </si>
  <si>
    <t>Đ/C: số 49 đường Phạm Văn Chiêu, Khu phố 1, Phường 2, thành phố Tây Ninh</t>
  </si>
  <si>
    <t>Đ/C: số 57 đường Phạm Văn Chiêu, Khu phố 1, Phường 2, thành phố Tây Ninh</t>
  </si>
  <si>
    <t>Đ/C: số 72 đường Phạm Văn Chiêu, Khu phố 1, Phường 2, thành phố Tây Ninh</t>
  </si>
  <si>
    <t>Đ/C: số 44 đường Phạm Văn Chiêu, Khu phố 1, Phường 2, thành phố Tây Ninh</t>
  </si>
  <si>
    <t>ĐT: 0852717139 (c. Ánh)</t>
  </si>
  <si>
    <t>Mái che khung sắt tiền chế: mái tôn, nền gạch tàu, vách xây tường lửng, cửa sắt</t>
  </si>
  <si>
    <t>Mái che khung sắt tiền chế: mái tôn, vách tôn, nền xi măng, cửa sắt</t>
  </si>
  <si>
    <t>Mái che khung sắt tiền chế: mái tôn, không vách, nền gạch bông + xi măng</t>
  </si>
  <si>
    <t>Nhà cấp 4 tự xây: Móng gạch, cột gạch, mái tôn, nền gạch tàu, cửa sắt</t>
  </si>
  <si>
    <t>Đ/c: đường Phạm Văn Chiêu, Khu phố 1, Phường 2, TPTN</t>
  </si>
  <si>
    <t>Sê nô của nhà cấp 4: móng gạch + bê tông cốt thép, cột gạch + bê tông cốt thép, tường xây gạch có tô + sơn bê, nền xi măng, mái bê tông cốt thép sàn 200</t>
  </si>
  <si>
    <t>Nhà tạm: khung sắt tiền chế, mái tôn, vách tường xây gạch có tô + sơn bê, nền gạch men</t>
  </si>
  <si>
    <t>Nhà tạm: khung sắt tiền chế, mái tôn, cửa sắt kéo, cột sắt, không trần, nền xi măng</t>
  </si>
  <si>
    <t>Nhà tạm: khung sắt tiền chế, mái tôn, không trần, cột sắt, vách tôn + lưới B40, nền xi măng, cửa sắt kéo</t>
  </si>
  <si>
    <t>Nhà tạm: 1 vách tôn, 1 vách xây tường, mái tôn, khung gỗ, nền gạch bông</t>
  </si>
  <si>
    <t>md</t>
  </si>
  <si>
    <t>Mái che khung sắt tiền chế: mái tôn, nền xi măng, cửa sắt cuốn</t>
  </si>
  <si>
    <t>Lê Thị Phùng</t>
  </si>
  <si>
    <t>Lê Thị Mộng Kiều</t>
  </si>
  <si>
    <t>CCCD: 072177001253</t>
  </si>
  <si>
    <t xml:space="preserve"> </t>
  </si>
  <si>
    <t>Đ/c: 94 đường Phạm Văn Chiêu, Khu phố 1, Phường 2, TPTN</t>
  </si>
  <si>
    <t>Đ/c: 88 Phạm Văn Chiêu, Khu phố 1, Phường 2, TPTN
ĐT: 0392931106</t>
  </si>
  <si>
    <t>Trần Văn Khải (đã chết)
Vợ: Lâm Thị Hiền</t>
  </si>
  <si>
    <t>Đ/c: Đường Gia Long, Khu phố 2, Phường 2, TPTN
ĐT: 0944986865</t>
  </si>
  <si>
    <t xml:space="preserve">Nhà cấp 4: Móng gạch, cột gạch, tường xây gạch có tô + sơn bê, mái tôn, trần tôn lạnh, nền gạch men, cửa sắt kéo, có nhà vệ sinh trong nhà </t>
  </si>
  <si>
    <t xml:space="preserve">Nhà cấp 4: Móng gạch, cột gạch, tường xây gạch có tô + quét vôi mái tôn, không trần, nền xi măng, cửa sắt kéo, có nhà vệ sinh trong nhà </t>
  </si>
  <si>
    <t xml:space="preserve">Nhà cấp 4: Móng gạch, cột gạch, tường xây gạch có tô + quét vôi, mái tôn, không trần, nền xi măng, cửa sắt kéo, không có nhà vệ sinh trong nhà </t>
  </si>
  <si>
    <t>Nguyễn Văn Dao
Lại Thị Tuyết</t>
  </si>
  <si>
    <t xml:space="preserve">Nhà cấp 4: Móng gạch, cột gạch, tường xây gạch có tô + sơn bê, bả matit, mái tôn, trần tôn lạnh, nền gạch men, cửa sắt kéo, có nhà vệ sinh trong nhà </t>
  </si>
  <si>
    <t>Nguyễn Văn Dùng
Nguyễn Thị Lan Dung</t>
  </si>
  <si>
    <t xml:space="preserve">Nhà cấp 4: Móng gạch, cột gạch, tường xây gạch có tô + quét vôi, không bả matit, mái tôn, trần thạch cao, nền gạch men, cửa sắt kéo, có nhà vệ sinh trong nhà </t>
  </si>
  <si>
    <t>Lưu Thị Cẩm Nhung
Đào Phú Hải</t>
  </si>
  <si>
    <t>Bà Huỳnh Kim Ngân là con bà Lê Thị Mộng Kiều</t>
  </si>
  <si>
    <t xml:space="preserve">Nhà cấp 4: Móng gạch + BTCT, cột gạch + BTCT, tường xây gạch có tô + sơn bê, mái tôn, trần tôn lạnh, nền gạch men, cửa sắt kéo, có nhà vệ sinh trong nhà </t>
  </si>
  <si>
    <t xml:space="preserve">Nhà cấp 4: Móng gạch, cột gạch, tường xây gạch có tô + quét vôi, mái tôn, trần tôn lạnh, nền gạch tàu, cửa sắt kéo, có nhà vệ sinh trong nhà </t>
  </si>
  <si>
    <t>Sầm Thị Ngọc (đã chết)
Đại diện: Trần Thị Liêng (chị)</t>
  </si>
  <si>
    <t>Lý Thị Tốt</t>
  </si>
  <si>
    <t>SĐT: 0933.113.307</t>
  </si>
  <si>
    <t>Trong đó:</t>
  </si>
  <si>
    <t>Phần nền lát gạch men</t>
  </si>
  <si>
    <t>Phần nền lát gạch tàu</t>
  </si>
  <si>
    <t>Nhà cấp 4: Móng gạch, cột gạch, mái tôn, không trần, tường xây gạch có tô + quét vôi, cửa sắt kéo, có nhà vệ sinh trong nhà, nền gạch men + nền gạch tàu</t>
  </si>
  <si>
    <t>Nhà cấp 4: Móng gạch, cột gạch, tường xây gạch có tô + quét vôi + ốp gạch men cao 2,05m, mái tôn, trần tôn lạnh, nền gạch men, cửa sắt kéo, có nhà vệ sinh trong nhà</t>
  </si>
  <si>
    <t>Nhà cấp 4: Móng gạch, cột gạch, tường xây gạch có tô + quét vôi, mái tôn, trần tôn lạnh, nền gạch men, cửa sắt, không có nhà vệ sinh trong nhà</t>
  </si>
  <si>
    <t>Nhà cấp 4: Móng gạch, cột gạch, nhờ 2 vách, mái tôn, trần tôn lạnh, nền gạch tàu, có nhà vệ sinh trong nhà</t>
  </si>
  <si>
    <t>Ki ốt số 19: móng gạch, cột gạch, tường gạch xây tô quét vôi, mặt dựng tô đá rửa, mái tôn, trần tôn lạnh, nền gạch men, cửa sắt kính</t>
  </si>
  <si>
    <t>Ki ốt số 41 (theo sơ đồ): Móng gạch, cột gạch, tường gạch xây tô quét vôi + sơn bê (mặt trong), mặt dựng tô đá rửa, mái tôn, trần tôn lạnh, cửa sắt kéo, nền gạch bông.</t>
  </si>
  <si>
    <t>Mái che khung sắt tiền chế: mái tôn, nền xi măng + gạch men, cửa sắt cuốn</t>
  </si>
  <si>
    <t>Mái che khung sắt tiền chế: mái tôn, nền xi măng + gạch men, cửa sắt cuốn (2 cái)</t>
  </si>
  <si>
    <t>Ki ốt số 3: Móng gạch, cột gạch, tường gạch xây tô quét vôi, mặt dựng tô đá rửa + ốp bê ka, mái tôn, trần tôn lạnh, cửa sắt kéo</t>
  </si>
  <si>
    <t>Lương Quang Hưng
Quách Kim Phụng</t>
  </si>
  <si>
    <t>Mái che khung sắt tiền chế: mái tôn, không vách, nền gạch tàu + nền xi măng</t>
  </si>
  <si>
    <t>Hàng rào song sắt, móng xây gạch</t>
  </si>
  <si>
    <t>Cổng rào</t>
  </si>
  <si>
    <t>Hoàng Văn Tin
Phạm Thị Ngọc Oanh</t>
  </si>
  <si>
    <t>Lê Thị Tuyết Vân</t>
  </si>
  <si>
    <t>Đ/c: Thành Nam, Thành Long, Châu Thành, Tây Ninh</t>
  </si>
  <si>
    <t>SĐT: 0907585789</t>
  </si>
  <si>
    <t>Đồng sở hữu: Quách Phú Cầm, Quách Kim Phụng, Quách Kim Hòa, Quách Thị Kim Hiệp, Quách Kim Sắc</t>
  </si>
  <si>
    <t>SĐT: 0975229181 (Chú Hưng)</t>
  </si>
  <si>
    <t>Mái che khung sắt tiền chế: Mái tôn, có vách, nền gạch tàu</t>
  </si>
  <si>
    <t>Vũ Huỳnh Kim Long</t>
  </si>
  <si>
    <t>Đ/c: Khu phố 1, Phường 3, thành phố Tây Ninh</t>
  </si>
  <si>
    <t>Hàng rào lưới B40, móng xây gạch</t>
  </si>
  <si>
    <t xml:space="preserve">Trụ cổng </t>
  </si>
  <si>
    <t>Tô, sơn trụ cổng</t>
  </si>
  <si>
    <t>Trần Thị Tài</t>
  </si>
  <si>
    <t>Đ/c: 181 Trưng Nữ Vương, Khu phố 5, Phường 1, thành phố Tây Ninh</t>
  </si>
  <si>
    <t>SĐT: 0903381499</t>
  </si>
  <si>
    <t>Nhà của công ty Nông thổ sản (chưa liên hệ được chủ)</t>
  </si>
  <si>
    <t>Nhà cấp 4: Móng gạch, cột gạch, mái tôn, không trần, tường xây gạch có tô quét vôi, mặt dựng tô đá rửa, nền xi măng, cửa sắt kéo, có nhà vệ sinh trong nhà</t>
  </si>
  <si>
    <t>THÀNH TIỀN
(đồng)</t>
  </si>
  <si>
    <t>Đỗ Văn Thế
Nguyễn Thị Huệ</t>
  </si>
  <si>
    <t>Chậu kiểng đường kính &gt;50cm</t>
  </si>
  <si>
    <t>Chậu kiểng đường kính &lt;50cm</t>
  </si>
  <si>
    <t>Chậu kiểng đường kính 50cm</t>
  </si>
  <si>
    <t>Cây kim ngân đường kính 30cm</t>
  </si>
  <si>
    <t>Đ/c: số 62 đường phạm Văn Chiêu, Khu phố 1, Phường 2, thành phố Tây Ninh
ĐT: 0349466883 (cô Hạnh)</t>
  </si>
  <si>
    <t>Đ/c: Số 153A, Khu phố 1, Phường 2, thành phố Tây Ninh
ĐT: 0903072472</t>
  </si>
  <si>
    <t>Đặng Phúng
Lê Thị Mỹ Thọ</t>
  </si>
  <si>
    <t>Đ/c: số 54 đường Phạm văn Chiêu, Khu phố 1, Phường 2, thành phố Tây Ninh
ĐT: 0938586794</t>
  </si>
  <si>
    <t>CMND: 290046747
Đ/c: 49/4 đường Nguyễn Huệ, ấp Long Mỹ, Phường Long Thành Bắc, thị xã Hòa Thành, Tây Ninh</t>
  </si>
  <si>
    <t>Nguyễn Trúc Phương
Đặng Thị Phượng</t>
  </si>
  <si>
    <t>Ống nhựa PVC đường kính 90mm</t>
  </si>
  <si>
    <t>Ống nhựa PVC đường kính 60mm</t>
  </si>
  <si>
    <r>
      <t>- Căn cứ quy định tại Điểm b Khoản 1 Điều 23 Quyết định số 17/2015/QĐ-UBND ngày 02/4/2015 của UBND tỉnh Tây Ninh: Hỗ trợ 40% đơn giá.
- Đơn giá theo Quyết định số 58/2019/QĐ-UBND ngày 26/12/2019 của UBND tỉnh Tây Ninh: 498.000 đồng/m</t>
    </r>
    <r>
      <rPr>
        <vertAlign val="superscript"/>
        <sz val="10"/>
        <rFont val="Times New Roman"/>
        <family val="1"/>
      </rPr>
      <t>2</t>
    </r>
    <r>
      <rPr>
        <sz val="10"/>
        <rFont val="Times New Roman"/>
        <family val="1"/>
      </rPr>
      <t xml:space="preserve">
498.000 x 40% = 199.200 đồng/m</t>
    </r>
    <r>
      <rPr>
        <vertAlign val="superscript"/>
        <sz val="10"/>
        <rFont val="Times New Roman"/>
        <family val="1"/>
      </rPr>
      <t>2</t>
    </r>
  </si>
  <si>
    <t>Nguyễn Ngọc Văn 
Phan Thị Liễu</t>
  </si>
  <si>
    <t>Lê Văn Bách
Nguyễn Thị Bé Năm</t>
  </si>
  <si>
    <t>Đ/C: số 53 đường Phạm Văn Chiêu, Khu phố 1, Phường 2, thành phố Tây Ninh
ĐT: 0902802340</t>
  </si>
  <si>
    <t>Phạm Hồ Trung Hiếu
Hằng Thị Quý Tâm</t>
  </si>
  <si>
    <t>Ngô Văn Hạp
Trần Thị Ngọc Nga</t>
  </si>
  <si>
    <t xml:space="preserve">Trần Văn Liêm
Đặng Thị Ngọc Mai </t>
  </si>
  <si>
    <t>Đ/c: Khu phố 1, Phường 2, thành phố Tây Ninh
ĐT: 0359954752</t>
  </si>
  <si>
    <t>Đ/c: 156 Võ Văn Truyện, Khu phố 1, Phường 2, TPTN
ĐT: 0975229181 (chú Hưng)</t>
  </si>
  <si>
    <t>Đ/c: Khu phố 3, Phường 1, thành phố Tây Ninh
SĐT: 0935529337</t>
  </si>
  <si>
    <t>Đ/c: 137 Trần Hưng Đạo, Khu phố 3, Phường 2, TPTN
ĐT: 0969909768</t>
  </si>
  <si>
    <r>
      <t>- Căn cứ quy định tại Điểm b Khoản 1 Điều 23 Quyết định số 17/2015/QĐ-UBND ngày 02/4/2015 của UBND tỉnh Tây Ninh: Hỗ trợ 40% đơn giá.
- Căn cứ Quyết định số 58/2019/QĐ-UBND ngày 26/12/2019 của UBND tỉnh Tây Ninh: 498.000 đồng/m</t>
    </r>
    <r>
      <rPr>
        <vertAlign val="superscript"/>
        <sz val="10"/>
        <rFont val="Times New Roman"/>
        <family val="1"/>
      </rPr>
      <t xml:space="preserve">2
</t>
    </r>
    <r>
      <rPr>
        <sz val="10"/>
        <rFont val="Times New Roman"/>
        <family val="1"/>
      </rPr>
      <t>498.000 x 40% = 199.200 đồng/m</t>
    </r>
    <r>
      <rPr>
        <vertAlign val="superscript"/>
        <sz val="10"/>
        <rFont val="Times New Roman"/>
        <family val="1"/>
      </rPr>
      <t>2</t>
    </r>
  </si>
  <si>
    <t>Đ/c: 96 đường Phạm Văn Chiêu, Khu phố 1, Phường 2, TPTN
ĐT: 0913663149</t>
  </si>
  <si>
    <r>
      <t xml:space="preserve">Huỳnh Kim Ngân
</t>
    </r>
    <r>
      <rPr>
        <sz val="12"/>
        <rFont val="Times New Roman"/>
        <family val="1"/>
      </rPr>
      <t xml:space="preserve">CCCD: 072301003478
Đ/c: Khu phố 2, Phường 2, TPTN
ĐT: 0344695160 (c Kiều)
</t>
    </r>
  </si>
  <si>
    <t>Đ/c: 39 Yết Kiêu, Khu phố 1, Phường 2, TPTN
ĐT: 0937404892 (A Phương con bà Liêng)</t>
  </si>
  <si>
    <r>
      <t>- Căn cứ quy định tại Điểm b Khoản 1 Điều 23 Quyết định số 17/2015/QĐ-UBND ngày 02/4/2015 của UBND tỉnh Tây Ninh: Hỗ trợ 40% đơn giá.
- Đơn giá theo Quyết định số 58/2019/QĐ-UBND ngày 26/12/2019 của UBND tỉnh Tây Ninh:  736.000 đồng/m</t>
    </r>
    <r>
      <rPr>
        <vertAlign val="superscript"/>
        <sz val="10"/>
        <rFont val="Times New Roman"/>
        <family val="1"/>
      </rPr>
      <t xml:space="preserve">2
</t>
    </r>
    <r>
      <rPr>
        <sz val="10"/>
        <rFont val="Times New Roman"/>
        <family val="1"/>
      </rPr>
      <t>736.000 x 40% = 294.400 đồng/m</t>
    </r>
    <r>
      <rPr>
        <vertAlign val="superscript"/>
        <sz val="10"/>
        <rFont val="Times New Roman"/>
        <family val="1"/>
      </rPr>
      <t>2</t>
    </r>
  </si>
  <si>
    <t>Đ/c: 56 Võ Văn Truyện, Khu phố 1, Phường 2, TPTN
ĐT: 0796411368</t>
  </si>
  <si>
    <r>
      <t>- Căn cứ quy định tại Điểm b Khoản 1 Điều 23 Quyết định số 17/2015/QĐ-UBND ngày 02/4/2015 của UBND tỉnh Tây Ninh: Hỗ trợ 40% đơn giá.
- Căn cứ Quyết định số 58/2019/QĐ-UBND ngày 26/12/2019 của UBND tỉnh Tây Ninh: Giảm 150.000 đồng/m</t>
    </r>
    <r>
      <rPr>
        <vertAlign val="superscript"/>
        <sz val="10"/>
        <rFont val="Times New Roman"/>
        <family val="1"/>
      </rPr>
      <t>2</t>
    </r>
    <r>
      <rPr>
        <sz val="10"/>
        <rFont val="Times New Roman"/>
        <family val="1"/>
      </rPr>
      <t xml:space="preserve"> do không đóng trần; Giảm 8% đơn giá do tường quét vôi.
(3.230.000 - 150.000 - (8% x 3.230.000)) x 40%= 1.128.640 đồng/m</t>
    </r>
    <r>
      <rPr>
        <vertAlign val="superscript"/>
        <sz val="10"/>
        <rFont val="Times New Roman"/>
        <family val="1"/>
      </rPr>
      <t>2</t>
    </r>
  </si>
  <si>
    <r>
      <t>Hỗ trợ 40% đơn giá 498.000 đồng/m</t>
    </r>
    <r>
      <rPr>
        <vertAlign val="superscript"/>
        <sz val="10.5"/>
        <rFont val="Times New Roman"/>
        <family val="1"/>
      </rPr>
      <t>2</t>
    </r>
  </si>
  <si>
    <r>
      <t>Hỗ trợ 40% đơn giá 736.000 đồng/m</t>
    </r>
    <r>
      <rPr>
        <vertAlign val="superscript"/>
        <sz val="10.5"/>
        <rFont val="Times New Roman"/>
        <family val="1"/>
      </rPr>
      <t>2</t>
    </r>
  </si>
  <si>
    <r>
      <t>Hỗ trợ 40% đơn giá 821.000 đồng/m</t>
    </r>
    <r>
      <rPr>
        <vertAlign val="superscript"/>
        <sz val="10.5"/>
        <rFont val="Times New Roman"/>
        <family val="1"/>
      </rPr>
      <t>2</t>
    </r>
  </si>
  <si>
    <r>
      <t>Hỗ trợ 40% đơn giá 150.000 đồng/m</t>
    </r>
    <r>
      <rPr>
        <vertAlign val="superscript"/>
        <sz val="10.5"/>
        <rFont val="Times New Roman"/>
        <family val="1"/>
      </rPr>
      <t>2</t>
    </r>
  </si>
  <si>
    <r>
      <t>Hỗ trợ 40% đơn giá 2.450.000 đồng/m</t>
    </r>
    <r>
      <rPr>
        <vertAlign val="superscript"/>
        <sz val="10.5"/>
        <rFont val="Times New Roman"/>
        <family val="1"/>
      </rPr>
      <t>2</t>
    </r>
  </si>
  <si>
    <r>
      <t>Giảm 8% đơn giá do tường quét vôi.
(3.230.000 - (8% x 3.230.000)) x 40% = 1.188.640 đồng/m</t>
    </r>
    <r>
      <rPr>
        <vertAlign val="superscript"/>
        <sz val="10.5"/>
        <rFont val="Times New Roman"/>
        <family val="1"/>
      </rPr>
      <t>2</t>
    </r>
  </si>
  <si>
    <r>
      <t>Giảm 8% đơn giá do tường quét vôi 
(3.230.000-(3.230.000 x 8%)) x 40% = 1.188.640 đồng/m</t>
    </r>
    <r>
      <rPr>
        <vertAlign val="superscript"/>
        <sz val="10.5"/>
        <rFont val="Times New Roman"/>
        <family val="1"/>
      </rPr>
      <t>2</t>
    </r>
  </si>
  <si>
    <r>
      <t>Giảm 160.000 đồng/m</t>
    </r>
    <r>
      <rPr>
        <vertAlign val="superscript"/>
        <sz val="10.5"/>
        <rFont val="Times New Roman"/>
        <family val="1"/>
      </rPr>
      <t>2</t>
    </r>
    <r>
      <rPr>
        <sz val="10.5"/>
        <rFont val="Times New Roman"/>
        <family val="1"/>
      </rPr>
      <t xml:space="preserve"> do nền lát gạch tàu 
(3.230.000-160.000) x 40% = 1.228.000 đồng/m</t>
    </r>
    <r>
      <rPr>
        <vertAlign val="superscript"/>
        <sz val="10.5"/>
        <rFont val="Times New Roman"/>
        <family val="1"/>
      </rPr>
      <t>2</t>
    </r>
  </si>
  <si>
    <r>
      <t>Hỗ trợ 40% đơn giá 230.000 đồng/m</t>
    </r>
    <r>
      <rPr>
        <vertAlign val="superscript"/>
        <sz val="10.5"/>
        <rFont val="Times New Roman"/>
        <family val="1"/>
      </rPr>
      <t>2</t>
    </r>
  </si>
  <si>
    <r>
      <t>Hỗ trợ 40% đơn giá 3.230.000 đồng/m</t>
    </r>
    <r>
      <rPr>
        <vertAlign val="superscript"/>
        <sz val="10.5"/>
        <rFont val="Times New Roman"/>
        <family val="1"/>
      </rPr>
      <t>2</t>
    </r>
  </si>
  <si>
    <r>
      <t>Căn cứ quy định tại Điểm b Khoản 1 Điều 23 Quyết định số 17/2015/QĐ-UBND ngày 02/4/2015 của UBND tỉnh Tây Ninh: Hỗ trợ 40% đơn giá 821.000 đồng/m</t>
    </r>
    <r>
      <rPr>
        <vertAlign val="superscript"/>
        <sz val="10.5"/>
        <rFont val="Times New Roman"/>
        <family val="1"/>
      </rPr>
      <t>2</t>
    </r>
    <r>
      <rPr>
        <sz val="10.5"/>
        <rFont val="Times New Roman"/>
        <family val="1"/>
      </rPr>
      <t xml:space="preserve"> </t>
    </r>
    <r>
      <rPr>
        <i/>
        <sz val="10.5"/>
        <rFont val="Times New Roman"/>
        <family val="1"/>
      </rPr>
      <t>(Đơn giá theo Quyết định số 58/2019/QĐ-UBND ngày 26/12/2019 của UBND tỉnh Tây Ninh)</t>
    </r>
  </si>
  <si>
    <r>
      <t>Giảm 8% đơn giá do tường quét vôi; Giảm 5% đơn giá do không có nhà vệ sinh trong nhà
(3.230.000-(8% x 3.230.000)-(5% x 3.230.000)) x 40% = 1.124.040 đồng/m</t>
    </r>
    <r>
      <rPr>
        <vertAlign val="superscript"/>
        <sz val="10.5"/>
        <rFont val="Times New Roman"/>
        <family val="1"/>
      </rPr>
      <t>2</t>
    </r>
  </si>
  <si>
    <r>
      <t>Giảm 8% đơn giá do tường quét vôi; Giảm 150.000 đồng/m</t>
    </r>
    <r>
      <rPr>
        <vertAlign val="superscript"/>
        <sz val="10.5"/>
        <rFont val="Times New Roman"/>
        <family val="1"/>
      </rPr>
      <t>2</t>
    </r>
    <r>
      <rPr>
        <sz val="10.5"/>
        <rFont val="Times New Roman"/>
        <family val="1"/>
      </rPr>
      <t xml:space="preserve"> do không có trần; Giảm 160.000 đồng/m</t>
    </r>
    <r>
      <rPr>
        <vertAlign val="superscript"/>
        <sz val="10.5"/>
        <rFont val="Times New Roman"/>
        <family val="1"/>
      </rPr>
      <t>2</t>
    </r>
    <r>
      <rPr>
        <sz val="10.5"/>
        <rFont val="Times New Roman"/>
        <family val="1"/>
      </rPr>
      <t xml:space="preserve"> do nền xi măng:
(3.230.000-(8% x 3.230.000)-150.000-160.000) x 40% = 1.064.640 đồng/m</t>
    </r>
    <r>
      <rPr>
        <vertAlign val="superscript"/>
        <sz val="10.5"/>
        <rFont val="Times New Roman"/>
        <family val="1"/>
      </rPr>
      <t>2</t>
    </r>
  </si>
  <si>
    <r>
      <t>Căn cứ quy định tại Điểm b Khoản 1 Điều 23 Quyết định số 17/2015/QĐ-UBND ngày 02/4/2015 của UBND tỉnh Tây Ninh: Hỗ trợ 40% đơn giá 498.000 đồng/m</t>
    </r>
    <r>
      <rPr>
        <vertAlign val="superscript"/>
        <sz val="10.5"/>
        <rFont val="Times New Roman"/>
        <family val="1"/>
      </rPr>
      <t xml:space="preserve">2  </t>
    </r>
    <r>
      <rPr>
        <sz val="10.5"/>
        <rFont val="Times New Roman"/>
        <family val="1"/>
      </rPr>
      <t>(Đơn giá theo Quyết định số 58/2019/QĐ-UBND ngày 26/12/2019 của UBND tỉnh Tây Ninh)</t>
    </r>
  </si>
  <si>
    <r>
      <t>Hỗ trợ 40% đơn giá di dời 150.000 đồng/m</t>
    </r>
    <r>
      <rPr>
        <vertAlign val="superscript"/>
        <sz val="10.5"/>
        <rFont val="Times New Roman"/>
        <family val="1"/>
      </rPr>
      <t>2</t>
    </r>
  </si>
  <si>
    <r>
      <t>Giảm 5% đơn giá do không có nhà vệ sinh trong nhà:
(3.230.000 -(5% x 3.230.000)) x 40%= 1.227.400 đồng/m</t>
    </r>
    <r>
      <rPr>
        <vertAlign val="superscript"/>
        <sz val="10.5"/>
        <rFont val="Times New Roman"/>
        <family val="1"/>
      </rPr>
      <t>2</t>
    </r>
  </si>
  <si>
    <r>
      <t>Giảm 8% đơn giá do tường quét vôi; Giảm 150.000 đồng/m</t>
    </r>
    <r>
      <rPr>
        <vertAlign val="superscript"/>
        <sz val="10.5"/>
        <rFont val="Times New Roman"/>
        <family val="1"/>
      </rPr>
      <t xml:space="preserve">2 </t>
    </r>
    <r>
      <rPr>
        <sz val="10.5"/>
        <rFont val="Times New Roman"/>
        <family val="1"/>
      </rPr>
      <t>do không đóng trần:
(3.230.000 - (8% x 3.230.000)-150.000) x 40% = 1.128.640 đồng/m</t>
    </r>
    <r>
      <rPr>
        <vertAlign val="superscript"/>
        <sz val="10.5"/>
        <rFont val="Times New Roman"/>
        <family val="1"/>
      </rPr>
      <t>2</t>
    </r>
  </si>
  <si>
    <r>
      <t>- Căn cứ quy định tại Điểm b Khoản 1 Điều 23 Quyết định số 17/2015/QĐ-UBND ngày 02/4/2015 của UBND tỉnh Tây Ninh: Hỗ trợ 40% đơn giá.
- Đơn giá theo Quyết định số 58/2019/QĐ-UBND ngày 26/12/2019 của UBND tỉnh Tây Ninh: 736.000 đồng/m</t>
    </r>
    <r>
      <rPr>
        <vertAlign val="superscript"/>
        <sz val="10.5"/>
        <rFont val="Times New Roman"/>
        <family val="1"/>
      </rPr>
      <t xml:space="preserve">2 
</t>
    </r>
    <r>
      <rPr>
        <sz val="10.5"/>
        <rFont val="Times New Roman"/>
        <family val="1"/>
      </rPr>
      <t>736.000 x 40% = 294.400 đồng/m</t>
    </r>
    <r>
      <rPr>
        <vertAlign val="superscript"/>
        <sz val="10.5"/>
        <rFont val="Times New Roman"/>
        <family val="1"/>
      </rPr>
      <t>2</t>
    </r>
  </si>
  <si>
    <r>
      <t>- Căn cứ quy định tại Điểm b Khoản 1 Điều 23 Quyết định số 17/2015/QĐ-UBND ngày 02/4/2015 của UBND tỉnh Tây Ninh: Hỗ trợ 40% đơn giá.
- Đơn giá theo Quyết định số 58/2019/QĐ-UBND ngày 26/12/2019 của UBND tỉnh Tây Ninh: 498.000 đồng/m</t>
    </r>
    <r>
      <rPr>
        <vertAlign val="superscript"/>
        <sz val="10.5"/>
        <rFont val="Times New Roman"/>
        <family val="1"/>
      </rPr>
      <t xml:space="preserve">2
</t>
    </r>
    <r>
      <rPr>
        <sz val="10.5"/>
        <rFont val="Times New Roman"/>
        <family val="1"/>
      </rPr>
      <t>498.000 x 40% = 199.200 đồng/m</t>
    </r>
    <r>
      <rPr>
        <vertAlign val="superscript"/>
        <sz val="10.5"/>
        <rFont val="Times New Roman"/>
        <family val="1"/>
      </rPr>
      <t>2</t>
    </r>
  </si>
  <si>
    <r>
      <t>- Căn cứ quy định tại Điểm b Khoản 1 Điều 23 Quyết định số 17/2015/QĐ-UBND ngày 02/4/2015 của UBND tỉnh Tây Ninh: Hỗ trợ 40% đơn giá.
- Đơn giá theo Quyết định số 58/2019/QĐ-UBND ngày 26/12/2019 của UBND tỉnh Tây Ninh: 498.000 đồng/m</t>
    </r>
    <r>
      <rPr>
        <vertAlign val="superscript"/>
        <sz val="10.5"/>
        <rFont val="Times New Roman"/>
        <family val="1"/>
      </rPr>
      <t>2</t>
    </r>
    <r>
      <rPr>
        <sz val="10.5"/>
        <rFont val="Times New Roman"/>
        <family val="1"/>
      </rPr>
      <t xml:space="preserve">
498.000 x 40% = 199.200 đồng/m</t>
    </r>
    <r>
      <rPr>
        <vertAlign val="superscript"/>
        <sz val="10.5"/>
        <rFont val="Times New Roman"/>
        <family val="1"/>
      </rPr>
      <t>2</t>
    </r>
  </si>
  <si>
    <r>
      <t>- Căn cứ quy định tại Điểm b Khoản 1 Điều 23 Quyết định số 17/2015/QĐ-UBND ngày 02/4/2015 của UBND tỉnh Tây Ninh: Hỗ trợ 40% đơn giá.
- Căn cứ Quyết định số 58/2019/QĐ-UBND ngày 26/12/2019 của UBND tỉnh Tây Ninh: Giảm 160.000 đồng/m</t>
    </r>
    <r>
      <rPr>
        <vertAlign val="superscript"/>
        <sz val="10.5"/>
        <rFont val="Times New Roman"/>
        <family val="1"/>
      </rPr>
      <t>2</t>
    </r>
    <r>
      <rPr>
        <sz val="10.5"/>
        <rFont val="Times New Roman"/>
        <family val="1"/>
      </rPr>
      <t xml:space="preserve"> do nền láng xi măng.
(3.230.000 -160.000) x 40% = 1.228.000 đồng/m</t>
    </r>
    <r>
      <rPr>
        <vertAlign val="superscript"/>
        <sz val="10.5"/>
        <rFont val="Times New Roman"/>
        <family val="1"/>
      </rPr>
      <t>2</t>
    </r>
  </si>
  <si>
    <r>
      <t>- Căn cứ quy định tại Điểm b Khoản 1 Điều 23 Quyết định số 17/2015/QĐ-UBND ngày 02/4/2015 của UBND tỉnh Tây Ninh: Hỗ trợ 40% đơn giá.
- Đơn giá theo Quyết định số 58/2019/QĐ-UBND ngày 26/12/2019 của UBND tỉnh Tây Ninh: 736.000 đồng/m</t>
    </r>
    <r>
      <rPr>
        <vertAlign val="superscript"/>
        <sz val="10.5"/>
        <rFont val="Times New Roman"/>
        <family val="1"/>
      </rPr>
      <t>2</t>
    </r>
    <r>
      <rPr>
        <sz val="10.5"/>
        <rFont val="Times New Roman"/>
        <family val="1"/>
      </rPr>
      <t xml:space="preserve">
736.000 x 40% = 294.400 đồng/m</t>
    </r>
    <r>
      <rPr>
        <vertAlign val="superscript"/>
        <sz val="10.5"/>
        <rFont val="Times New Roman"/>
        <family val="1"/>
      </rPr>
      <t>2</t>
    </r>
  </si>
  <si>
    <r>
      <t>- Căn cứ quy định tại Điểm b Khoản 1 Điều 23 Quyết định số 17/2015/QĐ-UBND ngày 02/4/2015 của UBND tỉnh Tây Ninh: Hỗ trợ 40% đơn giá.
- Đơn giá theo Quyết định số 58/2019/QĐ-UBND ngày 26/12/2019 của UBND tỉnh Tây Ninh: 3.230.000 đồng/m</t>
    </r>
    <r>
      <rPr>
        <vertAlign val="superscript"/>
        <sz val="10.5"/>
        <rFont val="Times New Roman"/>
        <family val="1"/>
      </rPr>
      <t>2</t>
    </r>
    <r>
      <rPr>
        <sz val="10.5"/>
        <rFont val="Times New Roman"/>
        <family val="1"/>
      </rPr>
      <t xml:space="preserve">
3.230.000 x 40% = 1.292.000 đồng/m</t>
    </r>
    <r>
      <rPr>
        <vertAlign val="superscript"/>
        <sz val="10.5"/>
        <rFont val="Times New Roman"/>
        <family val="1"/>
      </rPr>
      <t>2</t>
    </r>
  </si>
  <si>
    <r>
      <t>- Căn cứ quy định tại Điểm b Khoản 1 Điều 23 Quyết định số 17/2015/QĐ-UBND ngày 02/4/2015 của UBND tỉnh Tây Ninh: Hỗ trợ 40% đơn giá.
- Đơn giá theo Quyết định số 58/2019/QĐ-UBND ngày 26/12/2019 của UBND tỉnh Tây Ninh: 821.000 đồng/m</t>
    </r>
    <r>
      <rPr>
        <vertAlign val="superscript"/>
        <sz val="10.5"/>
        <rFont val="Times New Roman"/>
        <family val="1"/>
      </rPr>
      <t xml:space="preserve">2 
</t>
    </r>
    <r>
      <rPr>
        <sz val="10.5"/>
        <rFont val="Times New Roman"/>
        <family val="1"/>
      </rPr>
      <t>821.000 x 40% = 328.400 đồng/m</t>
    </r>
    <r>
      <rPr>
        <vertAlign val="superscript"/>
        <sz val="10.5"/>
        <rFont val="Times New Roman"/>
        <family val="1"/>
      </rPr>
      <t>2</t>
    </r>
  </si>
  <si>
    <r>
      <t>- Căn cứ quy định tại Điểm b Khoản 1 Điều 23 Quyết định số 17/2015/QĐ-UBND ngày 02/4/2015 của UBND tỉnh Tây Ninh: Hỗ trợ 40% đơn giá.
- Đơn giá theo Quyết định số 58/2019/QĐ-UBND ngày 26/12/2019 của UBND tỉnh Tây Ninh: 3.230.000 đồng/m</t>
    </r>
    <r>
      <rPr>
        <vertAlign val="superscript"/>
        <sz val="10.5"/>
        <rFont val="Times New Roman"/>
        <family val="1"/>
      </rPr>
      <t xml:space="preserve">2 
</t>
    </r>
    <r>
      <rPr>
        <sz val="10.5"/>
        <rFont val="Times New Roman"/>
        <family val="1"/>
      </rPr>
      <t>3.230.000 x 40% = 1.292.000 đồng/m</t>
    </r>
    <r>
      <rPr>
        <vertAlign val="superscript"/>
        <sz val="10.5"/>
        <rFont val="Times New Roman"/>
        <family val="1"/>
      </rPr>
      <t>2</t>
    </r>
  </si>
  <si>
    <r>
      <t>- Căn cứ quy định tại Điểm b Khoản 1 Điều 23 Quyết định số 17/2015/QĐ-UBND ngày 02/4/2015 của UBND tỉnh Tây Ninh: Hỗ trợ 40% đơn giá.
- Đơn giá theo Quyết định số 58/2019/QĐ-UBND ngày 26/12/2019 của UBND tỉnh Tây Ninh: 736.000 đồng/m</t>
    </r>
    <r>
      <rPr>
        <vertAlign val="superscript"/>
        <sz val="10.5"/>
        <rFont val="Times New Roman"/>
        <family val="1"/>
      </rPr>
      <t xml:space="preserve">2 </t>
    </r>
    <r>
      <rPr>
        <sz val="10.5"/>
        <rFont val="Times New Roman"/>
        <family val="1"/>
      </rPr>
      <t xml:space="preserve">
736.000 x 40% = 294.400 đồng/m</t>
    </r>
    <r>
      <rPr>
        <vertAlign val="superscript"/>
        <sz val="10.5"/>
        <rFont val="Times New Roman"/>
        <family val="1"/>
      </rPr>
      <t>2</t>
    </r>
  </si>
  <si>
    <t>Nhà tạm: khung sắt tiền chế, mái tôn, có vách, trần tôn lạnh, vách tường + sắt kéo, cửa nhôm kính</t>
  </si>
  <si>
    <t>Đ/c:  Khu phố 1, Phường 2, thành phố Tây Ninh
ĐT: 0373759554 - 0972961571</t>
  </si>
  <si>
    <t>Ống nhựa PVC đường kính 27mm</t>
  </si>
  <si>
    <t>Đ/c: số 56 đường phạm Văn Chiêu, Khu phố 1, Phường 2, thành phố Tây Ninh
ĐT: 0359585863</t>
  </si>
  <si>
    <t>Đ/c: Khu phố 2, Phường 2, TPTN
ĐT: 0344695160</t>
  </si>
  <si>
    <r>
      <t>- Diện tích ngoài giấy CNQSDĐ: 5,95m x 2,9m  = 17,26 m</t>
    </r>
    <r>
      <rPr>
        <vertAlign val="superscript"/>
        <sz val="10.5"/>
        <rFont val="Times New Roman"/>
        <family val="1"/>
      </rPr>
      <t>2</t>
    </r>
    <r>
      <rPr>
        <sz val="10.5"/>
        <rFont val="Times New Roman"/>
        <family val="1"/>
      </rPr>
      <t xml:space="preserve">
- Diện tích đo đến nhịp cột: 5,95m x 3,45m = 20,53 m</t>
    </r>
    <r>
      <rPr>
        <vertAlign val="superscript"/>
        <sz val="10.5"/>
        <rFont val="Times New Roman"/>
        <family val="1"/>
      </rPr>
      <t>2</t>
    </r>
    <r>
      <rPr>
        <sz val="10.5"/>
        <rFont val="Times New Roman"/>
        <family val="1"/>
      </rPr>
      <t xml:space="preserve">
- Căn cứ quy định tại Điểm b Khoản 1 Điều 23 Quyết định số 17/2015/QĐ-UBND ngày 02/4/2015 của UBND tỉnh Tây Ninh: Hỗ trợ 40% đơn giá.
- Đơn giá theo Quyết định số 58/2019/QĐ-UBND ngày 26/12/2019 của UBND tỉnh Tây Ninh: 498.000 đồng/m</t>
    </r>
    <r>
      <rPr>
        <vertAlign val="superscript"/>
        <sz val="10.5"/>
        <rFont val="Times New Roman"/>
        <family val="1"/>
      </rPr>
      <t>2</t>
    </r>
    <r>
      <rPr>
        <sz val="10.5"/>
        <rFont val="Times New Roman"/>
        <family val="1"/>
      </rPr>
      <t xml:space="preserve"> 
498.000 x 40% = 199.200 đồng/m</t>
    </r>
    <r>
      <rPr>
        <vertAlign val="superscript"/>
        <sz val="10.5"/>
        <rFont val="Times New Roman"/>
        <family val="1"/>
      </rPr>
      <t>2</t>
    </r>
  </si>
  <si>
    <r>
      <t>- Diện tích ngoài giấy CNQSDĐ: 4,0m x 3,18m =  12,72 m</t>
    </r>
    <r>
      <rPr>
        <vertAlign val="superscript"/>
        <sz val="10.5"/>
        <rFont val="Times New Roman"/>
        <family val="1"/>
      </rPr>
      <t>2</t>
    </r>
    <r>
      <rPr>
        <sz val="10.5"/>
        <rFont val="Times New Roman"/>
        <family val="1"/>
      </rPr>
      <t xml:space="preserve">
- Diện tích đo đến nhịp cột: 4,0m x 4,1m  = 16,4 m</t>
    </r>
    <r>
      <rPr>
        <vertAlign val="superscript"/>
        <sz val="10.5"/>
        <rFont val="Times New Roman"/>
        <family val="1"/>
      </rPr>
      <t>2</t>
    </r>
    <r>
      <rPr>
        <sz val="10.5"/>
        <rFont val="Times New Roman"/>
        <family val="1"/>
      </rPr>
      <t xml:space="preserve">
- Căn cứ quy định tại Điểm b Khoản 1 Điều 23 Quyết định số 17/2015/QĐ-UBND ngày 02/4/2015 của UBND tỉnh Tây Ninh: Hỗ trợ 40% đơn giá.
- Đơn giá theo Quyết định số 58/2019/QĐ-UBND ngày 26/12/2019 của UBND tỉnh Tây Ninh: 736.000 đồng/m</t>
    </r>
    <r>
      <rPr>
        <vertAlign val="superscript"/>
        <sz val="10.5"/>
        <rFont val="Times New Roman"/>
        <family val="1"/>
      </rPr>
      <t>2</t>
    </r>
    <r>
      <rPr>
        <sz val="10.5"/>
        <rFont val="Times New Roman"/>
        <family val="1"/>
      </rPr>
      <t xml:space="preserve"> 
736.000 x 40% = 294.400 đồng/m</t>
    </r>
    <r>
      <rPr>
        <vertAlign val="superscript"/>
        <sz val="10.5"/>
        <rFont val="Times New Roman"/>
        <family val="1"/>
      </rPr>
      <t>2</t>
    </r>
  </si>
  <si>
    <t>Ki ốt số: Móng gạch, cột gạch, mái tôn, trần ván ép, tường gạch xây có tô quét vôi, nền xi măng, cửa sắt kéo</t>
  </si>
  <si>
    <t>Ki ốt số: Móng gạch, cột gạch, tường gạch xây tô quét vôi, mái tôn, trần tôn lạnh, nền gạch men, của sắt kéo</t>
  </si>
  <si>
    <t>Ki ốt số: Móng gạch, cột gạch, tường gạch xây tô sơn bê, nền xi măng, cửa sắt kéo, có gác lửng</t>
  </si>
  <si>
    <r>
      <t>- Diện tích sê nô: 5,4 m x 2,4 m = 12,96 m</t>
    </r>
    <r>
      <rPr>
        <vertAlign val="superscript"/>
        <sz val="10.5"/>
        <rFont val="Times New Roman"/>
        <family val="1"/>
      </rPr>
      <t>2</t>
    </r>
    <r>
      <rPr>
        <sz val="10.5"/>
        <rFont val="Times New Roman"/>
        <family val="1"/>
      </rPr>
      <t xml:space="preserve">
- Diện tích nhà ngoài giấy CNQSDĐ: 5,4m x 2,79m 
- Diện tích nhà đo đến nhịp cột: 5,4m x 4,0m = 21,6 m</t>
    </r>
    <r>
      <rPr>
        <vertAlign val="superscript"/>
        <sz val="10.5"/>
        <rFont val="Times New Roman"/>
        <family val="1"/>
      </rPr>
      <t>2</t>
    </r>
    <r>
      <rPr>
        <sz val="10.5"/>
        <rFont val="Times New Roman"/>
        <family val="1"/>
      </rPr>
      <t xml:space="preserve">
Tổng diện tích bồi thường: 12,96 m</t>
    </r>
    <r>
      <rPr>
        <vertAlign val="superscript"/>
        <sz val="10.5"/>
        <rFont val="Times New Roman"/>
        <family val="1"/>
      </rPr>
      <t>2</t>
    </r>
    <r>
      <rPr>
        <sz val="10.5"/>
        <rFont val="Times New Roman"/>
        <family val="1"/>
      </rPr>
      <t>+ 21,6 m</t>
    </r>
    <r>
      <rPr>
        <vertAlign val="superscript"/>
        <sz val="10.5"/>
        <rFont val="Times New Roman"/>
        <family val="1"/>
      </rPr>
      <t>2</t>
    </r>
    <r>
      <rPr>
        <sz val="10.5"/>
        <rFont val="Times New Roman"/>
        <family val="1"/>
      </rPr>
      <t>= 34,56 m</t>
    </r>
    <r>
      <rPr>
        <vertAlign val="superscript"/>
        <sz val="10.5"/>
        <rFont val="Times New Roman"/>
        <family val="1"/>
      </rPr>
      <t xml:space="preserve">2
</t>
    </r>
    <r>
      <rPr>
        <sz val="10.5"/>
        <rFont val="Times New Roman"/>
        <family val="1"/>
      </rPr>
      <t>- Căn cứ quy định tại Điểm b Khoản 1 Điều 23 Quyết định số 17/2015/QĐ-UBND ngày 02/4/2015 của UBND tỉnh Tây Ninh: Hỗ trợ 40% đơn giá.
- Đơn giá theo Quyết định số 58/2019/QĐ-UBND ngày 26/12/2019 của UBND tỉnh Tây Ninh: 3.230.000 đồng/m</t>
    </r>
    <r>
      <rPr>
        <vertAlign val="superscript"/>
        <sz val="10.5"/>
        <rFont val="Times New Roman"/>
        <family val="1"/>
      </rPr>
      <t>2</t>
    </r>
    <r>
      <rPr>
        <sz val="10.5"/>
        <rFont val="Times New Roman"/>
        <family val="1"/>
      </rPr>
      <t xml:space="preserve">
3.230.000 x 40% = 1.292.000 đồng/m</t>
    </r>
    <r>
      <rPr>
        <vertAlign val="superscript"/>
        <sz val="10.5"/>
        <rFont val="Times New Roman"/>
        <family val="1"/>
      </rPr>
      <t>2</t>
    </r>
  </si>
  <si>
    <r>
      <t>- Diện tích sê nô: 4,2 m x 2,4 m = 10,08 m</t>
    </r>
    <r>
      <rPr>
        <vertAlign val="superscript"/>
        <sz val="10"/>
        <rFont val="Times New Roman"/>
        <family val="1"/>
      </rPr>
      <t>2</t>
    </r>
    <r>
      <rPr>
        <sz val="10"/>
        <rFont val="Times New Roman"/>
        <family val="1"/>
      </rPr>
      <t xml:space="preserve">
- Diện tích nhà ngoài giấy CNQSDĐ: 4,2m x 2,73m 
- Diện tích nhà đo đến nhịp cột: 4,2m x 3,9m  = 16,38 m</t>
    </r>
    <r>
      <rPr>
        <vertAlign val="superscript"/>
        <sz val="10"/>
        <rFont val="Times New Roman"/>
        <family val="1"/>
      </rPr>
      <t>2</t>
    </r>
    <r>
      <rPr>
        <sz val="10"/>
        <rFont val="Times New Roman"/>
        <family val="1"/>
      </rPr>
      <t xml:space="preserve">
- Tổng diện tích bồi thường: 10,08 m</t>
    </r>
    <r>
      <rPr>
        <vertAlign val="superscript"/>
        <sz val="10"/>
        <rFont val="Times New Roman"/>
        <family val="1"/>
      </rPr>
      <t>2</t>
    </r>
    <r>
      <rPr>
        <sz val="10"/>
        <rFont val="Times New Roman"/>
        <family val="1"/>
      </rPr>
      <t xml:space="preserve"> + 16,38 m</t>
    </r>
    <r>
      <rPr>
        <vertAlign val="superscript"/>
        <sz val="10"/>
        <rFont val="Times New Roman"/>
        <family val="1"/>
      </rPr>
      <t>2</t>
    </r>
    <r>
      <rPr>
        <sz val="10"/>
        <rFont val="Times New Roman"/>
        <family val="1"/>
      </rPr>
      <t>= 26,46 m</t>
    </r>
    <r>
      <rPr>
        <vertAlign val="superscript"/>
        <sz val="10"/>
        <rFont val="Times New Roman"/>
        <family val="1"/>
      </rPr>
      <t xml:space="preserve">2
</t>
    </r>
    <r>
      <rPr>
        <sz val="10"/>
        <rFont val="Times New Roman"/>
        <family val="1"/>
      </rPr>
      <t>- Căn cứ quy định tại Điểm b Khoản 1 Điều 23 Quyết định số 17/2015/QĐ-UBND ngày 02/4/2015 của UBND tỉnh Tây Ninh: Hỗ trợ 40% đơn giá.</t>
    </r>
    <r>
      <rPr>
        <vertAlign val="superscript"/>
        <sz val="10"/>
        <rFont val="Times New Roman"/>
        <family val="1"/>
      </rPr>
      <t xml:space="preserve">
</t>
    </r>
    <r>
      <rPr>
        <sz val="10"/>
        <rFont val="Times New Roman"/>
        <family val="1"/>
      </rPr>
      <t>-</t>
    </r>
    <r>
      <rPr>
        <vertAlign val="superscript"/>
        <sz val="10"/>
        <rFont val="Times New Roman"/>
        <family val="1"/>
      </rPr>
      <t xml:space="preserve"> </t>
    </r>
    <r>
      <rPr>
        <sz val="10"/>
        <rFont val="Times New Roman"/>
        <family val="1"/>
      </rPr>
      <t xml:space="preserve">Căn cứ Quyết định số 58/2019/QĐ-UBND ngày 26/12/2019 của UBND tỉnh Tây Ninh: </t>
    </r>
    <r>
      <rPr>
        <vertAlign val="superscript"/>
        <sz val="10"/>
        <rFont val="Times New Roman"/>
        <family val="1"/>
      </rPr>
      <t xml:space="preserve"> </t>
    </r>
    <r>
      <rPr>
        <sz val="10"/>
        <rFont val="Times New Roman"/>
        <family val="1"/>
      </rPr>
      <t>Giảm 150.000 đồng/m</t>
    </r>
    <r>
      <rPr>
        <vertAlign val="superscript"/>
        <sz val="10"/>
        <rFont val="Times New Roman"/>
        <family val="1"/>
      </rPr>
      <t>2</t>
    </r>
    <r>
      <rPr>
        <sz val="10"/>
        <rFont val="Times New Roman"/>
        <family val="1"/>
      </rPr>
      <t xml:space="preserve"> do không đóng trần; Giảm 8% đơn giá do tường quét vôi; Giảm 160.000 đồng/m</t>
    </r>
    <r>
      <rPr>
        <vertAlign val="superscript"/>
        <sz val="10"/>
        <rFont val="Times New Roman"/>
        <family val="1"/>
      </rPr>
      <t>2</t>
    </r>
    <r>
      <rPr>
        <sz val="10"/>
        <rFont val="Times New Roman"/>
        <family val="1"/>
      </rPr>
      <t xml:space="preserve"> do nền xi măng:
(3.230.000 - 150.000 - (8% x 3.230.000) -160.000) x 40%= 1.064.640 đồng/m</t>
    </r>
    <r>
      <rPr>
        <vertAlign val="superscript"/>
        <sz val="10"/>
        <rFont val="Times New Roman"/>
        <family val="1"/>
      </rPr>
      <t>2</t>
    </r>
  </si>
  <si>
    <r>
      <t>- Diện tích sê nô: 4,0 m x 2,4 m = 9,6 m</t>
    </r>
    <r>
      <rPr>
        <vertAlign val="superscript"/>
        <sz val="10"/>
        <rFont val="Times New Roman"/>
        <family val="1"/>
      </rPr>
      <t>2</t>
    </r>
    <r>
      <rPr>
        <sz val="10"/>
        <rFont val="Times New Roman"/>
        <family val="1"/>
      </rPr>
      <t xml:space="preserve">
- Diện tích nhà ngoài giấy CNQSDĐ: 4,0m x 2,68m 
- Diện tích nhà đo đến nhịp cột: 4,0m x 3,7m  = 14,8 m</t>
    </r>
    <r>
      <rPr>
        <vertAlign val="superscript"/>
        <sz val="10"/>
        <rFont val="Times New Roman"/>
        <family val="1"/>
      </rPr>
      <t>2</t>
    </r>
    <r>
      <rPr>
        <sz val="10"/>
        <rFont val="Times New Roman"/>
        <family val="1"/>
      </rPr>
      <t xml:space="preserve">
- Tổng diện tích bồi thường: 9,6 m</t>
    </r>
    <r>
      <rPr>
        <vertAlign val="superscript"/>
        <sz val="10"/>
        <rFont val="Times New Roman"/>
        <family val="1"/>
      </rPr>
      <t>2</t>
    </r>
    <r>
      <rPr>
        <sz val="10"/>
        <rFont val="Times New Roman"/>
        <family val="1"/>
      </rPr>
      <t xml:space="preserve"> + 14,8 m</t>
    </r>
    <r>
      <rPr>
        <vertAlign val="superscript"/>
        <sz val="10"/>
        <rFont val="Times New Roman"/>
        <family val="1"/>
      </rPr>
      <t>2</t>
    </r>
    <r>
      <rPr>
        <sz val="10"/>
        <rFont val="Times New Roman"/>
        <family val="1"/>
      </rPr>
      <t>= 24,4 m</t>
    </r>
    <r>
      <rPr>
        <vertAlign val="superscript"/>
        <sz val="10"/>
        <rFont val="Times New Roman"/>
        <family val="1"/>
      </rPr>
      <t>2</t>
    </r>
    <r>
      <rPr>
        <sz val="10"/>
        <rFont val="Times New Roman"/>
        <family val="1"/>
      </rPr>
      <t xml:space="preserve">
- Căn cứ quy định tại Điểm b Khoản 1 Điều 23 Quyết định số 17/2015/QĐ-UBND ngày 02/4/2015 của UBND tỉnh Tây Ninh: Hỗ trợ 40% đơn giá.
- Căn cứ Quyết định số 58/2019/QĐ-UBND ngày 26/12/2019 của UBND tỉnh Tây Ninh: Giảm 150.000 đồng/m</t>
    </r>
    <r>
      <rPr>
        <vertAlign val="superscript"/>
        <sz val="10"/>
        <rFont val="Times New Roman"/>
        <family val="1"/>
      </rPr>
      <t>2</t>
    </r>
    <r>
      <rPr>
        <sz val="10"/>
        <rFont val="Times New Roman"/>
        <family val="1"/>
      </rPr>
      <t xml:space="preserve"> do không đóng trần; Giảm 8% đơn giá do tường quét vôi; Giảm 160.000 đồng/m</t>
    </r>
    <r>
      <rPr>
        <vertAlign val="superscript"/>
        <sz val="10"/>
        <rFont val="Times New Roman"/>
        <family val="1"/>
      </rPr>
      <t>2</t>
    </r>
    <r>
      <rPr>
        <sz val="10"/>
        <rFont val="Times New Roman"/>
        <family val="1"/>
      </rPr>
      <t xml:space="preserve"> do nền xi măng; Giảm 5% đơn giá do không có nhà vệ sinh trong nhà.
(3.230.000 - 150.000 - (8% x 3.230.000) -160.000 - (5% x 3.230.000)) x 40%= 1.000.040 đồng/m</t>
    </r>
    <r>
      <rPr>
        <vertAlign val="superscript"/>
        <sz val="10"/>
        <rFont val="Times New Roman"/>
        <family val="1"/>
      </rPr>
      <t>2</t>
    </r>
  </si>
  <si>
    <r>
      <t>- Diện tích sê nô: 4,0 m x 2,4 m = 9,6 m</t>
    </r>
    <r>
      <rPr>
        <vertAlign val="superscript"/>
        <sz val="10"/>
        <rFont val="Times New Roman"/>
        <family val="1"/>
      </rPr>
      <t>2</t>
    </r>
    <r>
      <rPr>
        <sz val="10"/>
        <rFont val="Times New Roman"/>
        <family val="1"/>
      </rPr>
      <t xml:space="preserve">
- Diện tích nhà ngoài giấy CNQSDĐ: 4,0m x 2,59m 
- Diện tích nhà đo đến nhịp cột:  4,0m x 4,1m  = 16,4 m</t>
    </r>
    <r>
      <rPr>
        <vertAlign val="superscript"/>
        <sz val="10"/>
        <rFont val="Times New Roman"/>
        <family val="1"/>
      </rPr>
      <t>2</t>
    </r>
    <r>
      <rPr>
        <sz val="10"/>
        <rFont val="Times New Roman"/>
        <family val="1"/>
      </rPr>
      <t xml:space="preserve">
- Tổng diện tích bồi thường: 9,6 m</t>
    </r>
    <r>
      <rPr>
        <vertAlign val="superscript"/>
        <sz val="10"/>
        <rFont val="Times New Roman"/>
        <family val="1"/>
      </rPr>
      <t>2</t>
    </r>
    <r>
      <rPr>
        <sz val="10"/>
        <rFont val="Times New Roman"/>
        <family val="1"/>
      </rPr>
      <t xml:space="preserve"> + 16,4 m</t>
    </r>
    <r>
      <rPr>
        <vertAlign val="superscript"/>
        <sz val="10"/>
        <rFont val="Times New Roman"/>
        <family val="1"/>
      </rPr>
      <t>2</t>
    </r>
    <r>
      <rPr>
        <sz val="10"/>
        <rFont val="Times New Roman"/>
        <family val="1"/>
      </rPr>
      <t>= 26,0 m</t>
    </r>
    <r>
      <rPr>
        <vertAlign val="superscript"/>
        <sz val="10"/>
        <rFont val="Times New Roman"/>
        <family val="1"/>
      </rPr>
      <t xml:space="preserve">2
</t>
    </r>
    <r>
      <rPr>
        <sz val="10"/>
        <rFont val="Times New Roman"/>
        <family val="1"/>
      </rPr>
      <t>- Căn cứ quy định tại Điểm b Khoản 1 Điều 23 Quyết định số 17/2015/QĐ-UBND ngày 02/4/2015 của UBND tỉnh Tây Ninh: Hỗ trợ 40% đơn giá.
- Đơn giá theo Quyết định số 58/2019/QĐ-UBND ngày 26/12/2019 của UBND tỉnh Tây Ninh:  3.230.000 đồng/m</t>
    </r>
    <r>
      <rPr>
        <vertAlign val="superscript"/>
        <sz val="10"/>
        <rFont val="Times New Roman"/>
        <family val="1"/>
      </rPr>
      <t xml:space="preserve">2
</t>
    </r>
    <r>
      <rPr>
        <sz val="10"/>
        <rFont val="Times New Roman"/>
        <family val="1"/>
      </rPr>
      <t>3.230.000 x 40% = 1.292.000 đồng/m</t>
    </r>
    <r>
      <rPr>
        <vertAlign val="superscript"/>
        <sz val="10"/>
        <rFont val="Times New Roman"/>
        <family val="1"/>
      </rPr>
      <t>2</t>
    </r>
  </si>
  <si>
    <r>
      <t>- Diện tích sê nô: 4,0 m x 2,4 m = 9,6 m</t>
    </r>
    <r>
      <rPr>
        <vertAlign val="superscript"/>
        <sz val="10"/>
        <rFont val="Times New Roman"/>
        <family val="1"/>
      </rPr>
      <t>2</t>
    </r>
    <r>
      <rPr>
        <sz val="10"/>
        <rFont val="Times New Roman"/>
        <family val="1"/>
      </rPr>
      <t xml:space="preserve">
- Diện tích nhà ngoài giấy CNQSDĐ: 4,0m x 2,64m 
- Diện tích nhà đo đến nhịp cột: 4,0m x 3,62m  = 14,48 m</t>
    </r>
    <r>
      <rPr>
        <vertAlign val="superscript"/>
        <sz val="10"/>
        <rFont val="Times New Roman"/>
        <family val="1"/>
      </rPr>
      <t>2</t>
    </r>
    <r>
      <rPr>
        <sz val="10"/>
        <rFont val="Times New Roman"/>
        <family val="1"/>
      </rPr>
      <t xml:space="preserve">
- Tổng diện tích bồi thường: 9,6 m</t>
    </r>
    <r>
      <rPr>
        <vertAlign val="superscript"/>
        <sz val="10"/>
        <rFont val="Times New Roman"/>
        <family val="1"/>
      </rPr>
      <t>2</t>
    </r>
    <r>
      <rPr>
        <sz val="10"/>
        <rFont val="Times New Roman"/>
        <family val="1"/>
      </rPr>
      <t xml:space="preserve"> + 14,48 m</t>
    </r>
    <r>
      <rPr>
        <vertAlign val="superscript"/>
        <sz val="10"/>
        <rFont val="Times New Roman"/>
        <family val="1"/>
      </rPr>
      <t>2</t>
    </r>
    <r>
      <rPr>
        <sz val="10"/>
        <rFont val="Times New Roman"/>
        <family val="1"/>
      </rPr>
      <t>= 24,08 m
- Căn cứ quy định tại Điểm b Khoản 1 Điều 23 Quyết định số 17/2015/QĐ-UBND ngày 02/4/2015 của UBND tỉnh Tây Ninh: Hỗ trợ 40% đơn giá.
- Đơn giá theo Quyết định số 58/2019/QĐ-UBND ngày 26/12/2019 của UBND tỉnh Tây Ninh:  3.230.000 đồng/m</t>
    </r>
    <r>
      <rPr>
        <vertAlign val="superscript"/>
        <sz val="10"/>
        <rFont val="Times New Roman"/>
        <family val="1"/>
      </rPr>
      <t xml:space="preserve">2
</t>
    </r>
    <r>
      <rPr>
        <sz val="10"/>
        <rFont val="Times New Roman"/>
        <family val="1"/>
      </rPr>
      <t>3.230.000 x 40% = 1.292.000 đồng/m</t>
    </r>
    <r>
      <rPr>
        <vertAlign val="superscript"/>
        <sz val="10"/>
        <rFont val="Times New Roman"/>
        <family val="1"/>
      </rPr>
      <t>2</t>
    </r>
  </si>
  <si>
    <r>
      <t>- Diện tích sê nô: 4,0 m x 2,4 m = 9,6 m</t>
    </r>
    <r>
      <rPr>
        <vertAlign val="superscript"/>
        <sz val="10"/>
        <rFont val="Times New Roman"/>
        <family val="1"/>
      </rPr>
      <t>2</t>
    </r>
    <r>
      <rPr>
        <sz val="10"/>
        <rFont val="Times New Roman"/>
        <family val="1"/>
      </rPr>
      <t xml:space="preserve">
- Diện tích nhà ngoài giấy CNQSDĐ: 4,0m x 2,55m 
- Diện tích nhà đo đến nhịp cột: 4,0m x 4,0m  = 16,0 m</t>
    </r>
    <r>
      <rPr>
        <vertAlign val="superscript"/>
        <sz val="10"/>
        <rFont val="Times New Roman"/>
        <family val="1"/>
      </rPr>
      <t>2</t>
    </r>
    <r>
      <rPr>
        <sz val="10"/>
        <rFont val="Times New Roman"/>
        <family val="1"/>
      </rPr>
      <t xml:space="preserve">
- Tổng diện tích bồi thường: 9,6 m</t>
    </r>
    <r>
      <rPr>
        <vertAlign val="superscript"/>
        <sz val="10"/>
        <rFont val="Times New Roman"/>
        <family val="1"/>
      </rPr>
      <t>2</t>
    </r>
    <r>
      <rPr>
        <sz val="10"/>
        <rFont val="Times New Roman"/>
        <family val="1"/>
      </rPr>
      <t xml:space="preserve"> + 16,0 m</t>
    </r>
    <r>
      <rPr>
        <vertAlign val="superscript"/>
        <sz val="10"/>
        <rFont val="Times New Roman"/>
        <family val="1"/>
      </rPr>
      <t>2</t>
    </r>
    <r>
      <rPr>
        <sz val="10"/>
        <rFont val="Times New Roman"/>
        <family val="1"/>
      </rPr>
      <t>= 25,6 m</t>
    </r>
    <r>
      <rPr>
        <vertAlign val="superscript"/>
        <sz val="10"/>
        <rFont val="Times New Roman"/>
        <family val="1"/>
      </rPr>
      <t xml:space="preserve">2
</t>
    </r>
    <r>
      <rPr>
        <sz val="10"/>
        <rFont val="Times New Roman"/>
        <family val="1"/>
      </rPr>
      <t>- Căn cứ quy định tại Điểm b Khoản 1 Điều 23 Quyết định số 17/2015/QĐ-UBND ngày 02/4/2015 của UBND tỉnh Tây Ninh: Hỗ trợ 40% đơn giá.
- Đơn giá theo Quyết định số 58/2019/QĐ-UBND ngày 26/12/2019 của UBND tỉnh Tây Ninh:  3.230.000 đồng/m</t>
    </r>
    <r>
      <rPr>
        <vertAlign val="superscript"/>
        <sz val="10"/>
        <rFont val="Times New Roman"/>
        <family val="1"/>
      </rPr>
      <t>2</t>
    </r>
    <r>
      <rPr>
        <sz val="10"/>
        <rFont val="Times New Roman"/>
        <family val="1"/>
      </rPr>
      <t xml:space="preserve">
3.230.000 x 40% = 1.292.000 đồng/m</t>
    </r>
    <r>
      <rPr>
        <vertAlign val="superscript"/>
        <sz val="10"/>
        <rFont val="Times New Roman"/>
        <family val="1"/>
      </rPr>
      <t>2</t>
    </r>
  </si>
  <si>
    <r>
      <t>- Diện tích sê nô: 4,0 m x 2,4 m = 9,6 m</t>
    </r>
    <r>
      <rPr>
        <vertAlign val="superscript"/>
        <sz val="10"/>
        <rFont val="Times New Roman"/>
        <family val="1"/>
      </rPr>
      <t>2</t>
    </r>
    <r>
      <rPr>
        <sz val="10"/>
        <rFont val="Times New Roman"/>
        <family val="1"/>
      </rPr>
      <t xml:space="preserve">
- Diện tích nhà ngoài giấy CNQSDĐ: 4,0m x 2,51m 
- Diện tích nhà đo đến nhịp cột: 4,0m x 4,0m  = 16,0 m</t>
    </r>
    <r>
      <rPr>
        <vertAlign val="superscript"/>
        <sz val="10"/>
        <rFont val="Times New Roman"/>
        <family val="1"/>
      </rPr>
      <t>2</t>
    </r>
    <r>
      <rPr>
        <sz val="10"/>
        <rFont val="Times New Roman"/>
        <family val="1"/>
      </rPr>
      <t xml:space="preserve">
- Tổng diện tích bồi thường: 9,6 m</t>
    </r>
    <r>
      <rPr>
        <vertAlign val="superscript"/>
        <sz val="10"/>
        <rFont val="Times New Roman"/>
        <family val="1"/>
      </rPr>
      <t>2</t>
    </r>
    <r>
      <rPr>
        <sz val="10"/>
        <rFont val="Times New Roman"/>
        <family val="1"/>
      </rPr>
      <t xml:space="preserve"> + 16,0 m</t>
    </r>
    <r>
      <rPr>
        <vertAlign val="superscript"/>
        <sz val="10"/>
        <rFont val="Times New Roman"/>
        <family val="1"/>
      </rPr>
      <t>2</t>
    </r>
    <r>
      <rPr>
        <sz val="10"/>
        <rFont val="Times New Roman"/>
        <family val="1"/>
      </rPr>
      <t>= 25,6 m</t>
    </r>
    <r>
      <rPr>
        <vertAlign val="superscript"/>
        <sz val="10"/>
        <rFont val="Times New Roman"/>
        <family val="1"/>
      </rPr>
      <t xml:space="preserve">2
</t>
    </r>
    <r>
      <rPr>
        <sz val="10"/>
        <rFont val="Times New Roman"/>
        <family val="1"/>
      </rPr>
      <t>- Căn cứ quy định tại Điểm b Khoản 1 Điều 23 Quyết định số 17/2015/QĐ-UBND ngày 02/4/2015 của UBND tỉnh Tây Ninh: Hỗ trợ 40% đơn giá.
- Đơn giá theo Quyết định số 58/2019/QĐ-UBND ngày 26/12/2019 của UBND tỉnh Tây Ninh:  3.230.000 đồng/m</t>
    </r>
    <r>
      <rPr>
        <vertAlign val="superscript"/>
        <sz val="10"/>
        <rFont val="Times New Roman"/>
        <family val="1"/>
      </rPr>
      <t>2</t>
    </r>
    <r>
      <rPr>
        <sz val="10"/>
        <rFont val="Times New Roman"/>
        <family val="1"/>
      </rPr>
      <t xml:space="preserve">
3.230.000 x 40% = 1.292.000 đồng/m</t>
    </r>
    <r>
      <rPr>
        <vertAlign val="superscript"/>
        <sz val="10"/>
        <rFont val="Times New Roman"/>
        <family val="1"/>
      </rPr>
      <t>2</t>
    </r>
  </si>
  <si>
    <r>
      <t>- Diện tích sê nô: 4,0 m x 2,4 m = 9,6 m</t>
    </r>
    <r>
      <rPr>
        <vertAlign val="superscript"/>
        <sz val="10"/>
        <rFont val="Times New Roman"/>
        <family val="1"/>
      </rPr>
      <t>2</t>
    </r>
    <r>
      <rPr>
        <sz val="10"/>
        <rFont val="Times New Roman"/>
        <family val="1"/>
      </rPr>
      <t xml:space="preserve">
- Diện tích nhà ngoài giấy CNQSDĐ: 4,0m x 2,47m 
- Diện tích nhà đo đến nhịp cột: 4,0m x 4,0m  = 16,0 m</t>
    </r>
    <r>
      <rPr>
        <vertAlign val="superscript"/>
        <sz val="10"/>
        <rFont val="Times New Roman"/>
        <family val="1"/>
      </rPr>
      <t>2</t>
    </r>
    <r>
      <rPr>
        <sz val="10"/>
        <rFont val="Times New Roman"/>
        <family val="1"/>
      </rPr>
      <t xml:space="preserve">
- Tổng diện tích bồi thường: 9,6 m</t>
    </r>
    <r>
      <rPr>
        <vertAlign val="superscript"/>
        <sz val="10"/>
        <rFont val="Times New Roman"/>
        <family val="1"/>
      </rPr>
      <t>2</t>
    </r>
    <r>
      <rPr>
        <sz val="10"/>
        <rFont val="Times New Roman"/>
        <family val="1"/>
      </rPr>
      <t xml:space="preserve"> + 16,0 m</t>
    </r>
    <r>
      <rPr>
        <vertAlign val="superscript"/>
        <sz val="10"/>
        <rFont val="Times New Roman"/>
        <family val="1"/>
      </rPr>
      <t>2</t>
    </r>
    <r>
      <rPr>
        <sz val="10"/>
        <rFont val="Times New Roman"/>
        <family val="1"/>
      </rPr>
      <t>= 25,6 m</t>
    </r>
    <r>
      <rPr>
        <vertAlign val="superscript"/>
        <sz val="10"/>
        <rFont val="Times New Roman"/>
        <family val="1"/>
      </rPr>
      <t>2</t>
    </r>
    <r>
      <rPr>
        <sz val="10"/>
        <rFont val="Times New Roman"/>
        <family val="1"/>
      </rPr>
      <t xml:space="preserve">
- Căn cứ quy định tại Điểm b Khoản 1 Điều 23 Quyết định số 17/2015/QĐ-UBND ngày 02/4/2015 của UBND tỉnh Tây Ninh: Hỗ trợ 40% đơn giá.
- Căn cứ Quyết định số 58/2019/QĐ-UBND ngày 26/12/2019 của UBND tỉnh Tây Ninh: Giảm 8% đơn giá do tường quét vôi; Giảm 160.000 đồng/m</t>
    </r>
    <r>
      <rPr>
        <vertAlign val="superscript"/>
        <sz val="10"/>
        <rFont val="Times New Roman"/>
        <family val="1"/>
      </rPr>
      <t>2</t>
    </r>
    <r>
      <rPr>
        <sz val="10"/>
        <rFont val="Times New Roman"/>
        <family val="1"/>
      </rPr>
      <t xml:space="preserve"> do nền lát gạch tàu.
(3.230.000-(8% x 3.230.000)-160.000) x 40% = 1.124.640 đồng/m</t>
    </r>
    <r>
      <rPr>
        <vertAlign val="superscript"/>
        <sz val="10"/>
        <rFont val="Times New Roman"/>
        <family val="1"/>
      </rPr>
      <t>2</t>
    </r>
  </si>
  <si>
    <r>
      <t>- Căn cứ quy định tại Điểm b Khoản 1 Điều 23 Quyết định số 17/2015/QĐ-UBND ngày 02/4/2015 của UBND tỉnh Tây Ninh: Hỗ trợ 40% đơn giá.
- Đơn giá theo Quyết định số 58/2019/QĐ-UBND ngày 26/12/2019 của UBND tỉnh Tây Ninh: 3.230.000 đồng/m</t>
    </r>
    <r>
      <rPr>
        <vertAlign val="superscript"/>
        <sz val="10"/>
        <rFont val="Times New Roman"/>
        <family val="1"/>
      </rPr>
      <t xml:space="preserve">2
</t>
    </r>
    <r>
      <rPr>
        <sz val="10"/>
        <rFont val="Times New Roman"/>
        <family val="1"/>
      </rPr>
      <t>3.230.000 x 40% = 1.292.000 đồng/m</t>
    </r>
    <r>
      <rPr>
        <vertAlign val="superscript"/>
        <sz val="10"/>
        <rFont val="Times New Roman"/>
        <family val="1"/>
      </rPr>
      <t>2</t>
    </r>
  </si>
  <si>
    <r>
      <t>- Căn cứ quy định tại Điểm b Khoản 1 Điều 23 Quyết định số 17/2015/QĐ-UBND ngày 02/4/2015 của UBND tỉnh Tây Ninh: Hỗ trợ 40% đơn giá.
- Căn cứ Quyết định số 58/2019/QĐ-UBND ngày 26/12/2019 của UBND tỉnh Tây Ninh: Giảm 20% đơn giá do có 2 mặt tường mượn; Giảm 160.000 đồng/m</t>
    </r>
    <r>
      <rPr>
        <vertAlign val="superscript"/>
        <sz val="10"/>
        <rFont val="Times New Roman"/>
        <family val="1"/>
      </rPr>
      <t>2</t>
    </r>
    <r>
      <rPr>
        <sz val="10"/>
        <rFont val="Times New Roman"/>
        <family val="1"/>
      </rPr>
      <t xml:space="preserve"> do nền lát gạch tàu.
(3.230.000 - (20% x 3.230.000)-160.000) x 40% = 969.600 đồng/m</t>
    </r>
    <r>
      <rPr>
        <vertAlign val="superscript"/>
        <sz val="10"/>
        <rFont val="Times New Roman"/>
        <family val="1"/>
      </rPr>
      <t>2</t>
    </r>
  </si>
  <si>
    <r>
      <t>- Căn cứ quy định tại Điểm b Khoản 1 Điều 23 Quyết định số 17/2015/QĐ-UBND ngày 02/4/2015 của UBND tỉnh Tây Ninh: Hỗ trợ 40% đơn giá.
- Căn cứ Quyết định số 58/2019/QĐ-UBND ngày 26/12/2019 của UBND tỉnh Tây Ninh: Giảm 8% đơn giá do tường quét vôi; Giảm 5% đơn giá do không có nhà vệ sinh trong nhà.
(3.230.000 - (8% x 3.230.000) - (5% x 3.230.000)) x 40% = 1.124.040 đồng/m</t>
    </r>
    <r>
      <rPr>
        <vertAlign val="superscript"/>
        <sz val="10"/>
        <rFont val="Times New Roman"/>
        <family val="1"/>
      </rPr>
      <t>2</t>
    </r>
  </si>
  <si>
    <r>
      <t>- Diện tích sê nô: 5,0 m x 2,6 m = 13,0 m</t>
    </r>
    <r>
      <rPr>
        <vertAlign val="superscript"/>
        <sz val="10"/>
        <rFont val="Times New Roman"/>
        <family val="1"/>
      </rPr>
      <t>2</t>
    </r>
    <r>
      <rPr>
        <sz val="10"/>
        <rFont val="Times New Roman"/>
        <family val="1"/>
      </rPr>
      <t xml:space="preserve">
- Diện tích nhà ngoài giấy CNQSDĐ: 5,0m x 2,84m 
- Diện tích nhà đo đến nhịp cột: 5,0m x 3,9m  = 19,5 m</t>
    </r>
    <r>
      <rPr>
        <vertAlign val="superscript"/>
        <sz val="10"/>
        <rFont val="Times New Roman"/>
        <family val="1"/>
      </rPr>
      <t>2</t>
    </r>
    <r>
      <rPr>
        <sz val="10"/>
        <rFont val="Times New Roman"/>
        <family val="1"/>
      </rPr>
      <t xml:space="preserve">
- Tổng diện tích bồi thường: 13,0 m</t>
    </r>
    <r>
      <rPr>
        <vertAlign val="superscript"/>
        <sz val="10"/>
        <rFont val="Times New Roman"/>
        <family val="1"/>
      </rPr>
      <t>2</t>
    </r>
    <r>
      <rPr>
        <sz val="10"/>
        <rFont val="Times New Roman"/>
        <family val="1"/>
      </rPr>
      <t xml:space="preserve"> + 19,5 m</t>
    </r>
    <r>
      <rPr>
        <vertAlign val="superscript"/>
        <sz val="10"/>
        <rFont val="Times New Roman"/>
        <family val="1"/>
      </rPr>
      <t>2</t>
    </r>
    <r>
      <rPr>
        <sz val="10"/>
        <rFont val="Times New Roman"/>
        <family val="1"/>
      </rPr>
      <t>= 32,5 m</t>
    </r>
    <r>
      <rPr>
        <vertAlign val="superscript"/>
        <sz val="10"/>
        <rFont val="Times New Roman"/>
        <family val="1"/>
      </rPr>
      <t>2</t>
    </r>
  </si>
  <si>
    <r>
      <t>- Căn cứ quy định tại Điểm b Khoản 1 Điều 23 Quyết định số 17/2015/QĐ-UBND ngày 02/4/2015 của UBND tỉnh Tây Ninh: Hỗ trợ 40% đơn giá.
- Căn cứ Quyết định số 58/2019/QĐ-UBND ngày 26/12/2019 của UBND tỉnh Tây Ninh: Giảm 150.000 đồng/m</t>
    </r>
    <r>
      <rPr>
        <vertAlign val="superscript"/>
        <sz val="10"/>
        <rFont val="Times New Roman"/>
        <family val="1"/>
      </rPr>
      <t>2</t>
    </r>
    <r>
      <rPr>
        <sz val="10"/>
        <rFont val="Times New Roman"/>
        <family val="1"/>
      </rPr>
      <t xml:space="preserve"> do không đóng trần; Giảm 8% đơn giá do tường quét vôi; Giảm 160.000 đồng/m</t>
    </r>
    <r>
      <rPr>
        <vertAlign val="superscript"/>
        <sz val="10"/>
        <rFont val="Times New Roman"/>
        <family val="1"/>
      </rPr>
      <t>2</t>
    </r>
    <r>
      <rPr>
        <sz val="10"/>
        <rFont val="Times New Roman"/>
        <family val="1"/>
      </rPr>
      <t xml:space="preserve"> do nền lát gạch tàu.
(3.230.000 - 150.000 - (8% x 3.230.000) - 160.000) x 40% = 1.064.640 đồng/m</t>
    </r>
    <r>
      <rPr>
        <vertAlign val="superscript"/>
        <sz val="10"/>
        <rFont val="Times New Roman"/>
        <family val="1"/>
      </rPr>
      <t>2</t>
    </r>
  </si>
  <si>
    <r>
      <t>- Căn cứ quy định tại Điểm b Khoản 1 Điều 23 Quyết định số 17/2015/QĐ-UBND ngày 02/4/2015 của UBND tỉnh Tây Ninh: Hỗ trợ 40% đơn giá.
- Căn cứ Quyết định số 58/2019/QĐ-UBND ngày 26/12/2019 của UBND tỉnh Tây Ninh: Giảm 150.000 đồng/m</t>
    </r>
    <r>
      <rPr>
        <vertAlign val="superscript"/>
        <sz val="10"/>
        <rFont val="Times New Roman"/>
        <family val="1"/>
      </rPr>
      <t>2</t>
    </r>
    <r>
      <rPr>
        <sz val="10"/>
        <rFont val="Times New Roman"/>
        <family val="1"/>
      </rPr>
      <t xml:space="preserve"> do không có trần; Giảm 8% đơn giá do tường quét vôi; Giảm 160.000 đồng/m</t>
    </r>
    <r>
      <rPr>
        <vertAlign val="superscript"/>
        <sz val="10"/>
        <rFont val="Times New Roman"/>
        <family val="1"/>
      </rPr>
      <t>2</t>
    </r>
    <r>
      <rPr>
        <sz val="10"/>
        <rFont val="Times New Roman"/>
        <family val="1"/>
      </rPr>
      <t xml:space="preserve"> do nền láng xi măng, </t>
    </r>
    <r>
      <rPr>
        <vertAlign val="superscript"/>
        <sz val="10"/>
        <rFont val="Times New Roman"/>
        <family val="1"/>
      </rPr>
      <t xml:space="preserve">
</t>
    </r>
    <r>
      <rPr>
        <sz val="10"/>
        <rFont val="Times New Roman"/>
        <family val="1"/>
      </rPr>
      <t>(3.230.000 - 150.000 - (8% x 3.230.000) - 160.000) x 40% = 1.064.640 đồng/m</t>
    </r>
    <r>
      <rPr>
        <vertAlign val="superscript"/>
        <sz val="10"/>
        <rFont val="Times New Roman"/>
        <family val="1"/>
      </rPr>
      <t>2</t>
    </r>
  </si>
  <si>
    <t>Nhà cấp 4: móng gạch, cột gạch, tường gạch xây tô + quét vôi, mái tôn, trần tôn lạnh, nền gạch men</t>
  </si>
  <si>
    <t>Sê nô: nền xi măng (Của ki ốt)</t>
  </si>
  <si>
    <t>Sê nô (Của ki ốt)</t>
  </si>
  <si>
    <t>Sê nô: nền gạch men (Của ki ốt)</t>
  </si>
  <si>
    <t>Sê nô: nền gạch tàu (Của ki ốt)</t>
  </si>
  <si>
    <t xml:space="preserve">Cửa kính </t>
  </si>
  <si>
    <r>
      <t xml:space="preserve">Huỳnh Thị Bình
</t>
    </r>
    <r>
      <rPr>
        <sz val="12"/>
        <rFont val="Times New Roman"/>
        <family val="1"/>
      </rPr>
      <t>CMND: 290293410</t>
    </r>
  </si>
  <si>
    <t>ĐT: 0394616574
        02766298921</t>
  </si>
  <si>
    <r>
      <t>- Diện tích sê nô: 4,0 m x 2,4 m = 9,6 m</t>
    </r>
    <r>
      <rPr>
        <vertAlign val="superscript"/>
        <sz val="10"/>
        <rFont val="Times New Roman"/>
        <family val="1"/>
      </rPr>
      <t>2</t>
    </r>
    <r>
      <rPr>
        <sz val="10"/>
        <rFont val="Times New Roman"/>
        <family val="1"/>
      </rPr>
      <t xml:space="preserve">
- Diện tích nhà ngoài giấy CNQSDĐ: 4,0m x 2,91m 
- Diện tích nhà đo đến nhịp cột: 4,0m x 4,2m  = 16,8 m</t>
    </r>
    <r>
      <rPr>
        <vertAlign val="superscript"/>
        <sz val="10"/>
        <rFont val="Times New Roman"/>
        <family val="1"/>
      </rPr>
      <t>2</t>
    </r>
    <r>
      <rPr>
        <sz val="10"/>
        <rFont val="Times New Roman"/>
        <family val="1"/>
      </rPr>
      <t xml:space="preserve">
- Tổng diện tích bồi thường: 9,6 m</t>
    </r>
    <r>
      <rPr>
        <vertAlign val="superscript"/>
        <sz val="10"/>
        <rFont val="Times New Roman"/>
        <family val="1"/>
      </rPr>
      <t>2</t>
    </r>
    <r>
      <rPr>
        <sz val="10"/>
        <rFont val="Times New Roman"/>
        <family val="1"/>
      </rPr>
      <t xml:space="preserve"> + 16,8 m</t>
    </r>
    <r>
      <rPr>
        <vertAlign val="superscript"/>
        <sz val="10"/>
        <rFont val="Times New Roman"/>
        <family val="1"/>
      </rPr>
      <t>2</t>
    </r>
    <r>
      <rPr>
        <sz val="10"/>
        <rFont val="Times New Roman"/>
        <family val="1"/>
      </rPr>
      <t>= 26,4 m</t>
    </r>
    <r>
      <rPr>
        <vertAlign val="superscript"/>
        <sz val="10"/>
        <rFont val="Times New Roman"/>
        <family val="1"/>
      </rPr>
      <t xml:space="preserve">2
</t>
    </r>
    <r>
      <rPr>
        <sz val="10"/>
        <rFont val="Times New Roman"/>
        <family val="1"/>
      </rPr>
      <t>- Căn cứ quy định tại Điểm b Khoản 1 Điều 23 Quyết định số 17/2015/QĐ-UBND ngày 02/4/2015 của UBND tỉnh Tây Ninh: Hỗ trợ 40% đơn giá.
- Căn cứ Quyết định số 58/2019/QĐ-UBND ngày 26/12/2019 của UBND tỉnh Tây Ninh: Giảm 8% đơn giá do tường quét vôi.</t>
    </r>
    <r>
      <rPr>
        <vertAlign val="superscript"/>
        <sz val="10"/>
        <rFont val="Times New Roman"/>
        <family val="1"/>
      </rPr>
      <t xml:space="preserve">
</t>
    </r>
    <r>
      <rPr>
        <sz val="10"/>
        <rFont val="Times New Roman"/>
        <family val="1"/>
      </rPr>
      <t>(3.230.000 - (8% x 3.230.000)) x 40% = 1.188.640 đồng/m</t>
    </r>
    <r>
      <rPr>
        <vertAlign val="superscript"/>
        <sz val="10"/>
        <rFont val="Times New Roman"/>
        <family val="1"/>
      </rPr>
      <t>2</t>
    </r>
  </si>
  <si>
    <t>Mái che khung sắt tiền chế: mái tôn, vách tôn, nền xi măng + nền gạch tàu</t>
  </si>
  <si>
    <r>
      <t xml:space="preserve"> Giảm 150.000 đồng/m</t>
    </r>
    <r>
      <rPr>
        <vertAlign val="superscript"/>
        <sz val="10.5"/>
        <rFont val="Times New Roman"/>
        <family val="1"/>
      </rPr>
      <t>2</t>
    </r>
    <r>
      <rPr>
        <sz val="10.5"/>
        <rFont val="Times New Roman"/>
        <family val="1"/>
      </rPr>
      <t xml:space="preserve"> do không đóng trần; Giảm 4% đơn giá do tường quét vôi; Giảm 10% đơn giá do nhờ 1 vách.
(3.230.000 -150.000 -(4% x 3.230.000)-(10% x 3.230.000)) x 40% = 1.051.120 đồng/m</t>
    </r>
    <r>
      <rPr>
        <vertAlign val="superscript"/>
        <sz val="10.5"/>
        <rFont val="Times New Roman"/>
        <family val="1"/>
      </rPr>
      <t>2</t>
    </r>
  </si>
  <si>
    <t>Dự án: Xây mới Chợ Thành phố</t>
  </si>
  <si>
    <r>
      <t xml:space="preserve">Huỳnh Thị Mười
</t>
    </r>
    <r>
      <rPr>
        <sz val="12"/>
        <rFont val="Times New Roman"/>
        <family val="1"/>
      </rPr>
      <t>CMND: 072169000005</t>
    </r>
  </si>
  <si>
    <t>Mái che khung sắt tiền chế: mái tôn, không vách, nền gạch tàu (xây cất năm 2015)</t>
  </si>
  <si>
    <t>Mái che khung sắt tiền chế: mái tôn, có vách, nền gạch bông (xây cất năm 2015)</t>
  </si>
  <si>
    <t>không hỗ trợ (xây cất sau ngày 01/7/2004)</t>
  </si>
  <si>
    <t>Nhà cấp 4: Móng gạch, cột gạch, mái tôn, có trần, vách tường xây gạch có tô + sơn bê + ốp gạch men cao 1,6m, nền gạch men, cửa sắt kéo (xây dựng năm 2017)</t>
  </si>
  <si>
    <t>không hỗ trợ (xây dựng sau ngày 01/7/2004)</t>
  </si>
  <si>
    <t>Mái che khung sắt tiền chế: Mái tôn, không vách, nền gạch Terrazzo (xây cất năm 2017)</t>
  </si>
  <si>
    <t>Mái che khung sắt tiền chế: Mái tôn, vách tôn, nền xi măng (xây cất năm 2015)</t>
  </si>
  <si>
    <t>Mái che khung sắt tiền chế: Mái tôn, vách lưới B40, nền xi măng (xấy cất năm 2010)</t>
  </si>
  <si>
    <t>Nguyễn Thị Ngận</t>
  </si>
  <si>
    <t>Đại diện:
Trương Thị Lành</t>
  </si>
  <si>
    <t>Nguyễn Thị Thu Nhi</t>
  </si>
  <si>
    <t>I</t>
  </si>
  <si>
    <t>Tổ chức: 03</t>
  </si>
  <si>
    <t xml:space="preserve">Nhà làm việc của Đội thuế Chợ Thành phố trực thuộc Chi cục Thuế khu vực Thành phố - Châu Thành </t>
  </si>
  <si>
    <t>Không áp giá bồi thường</t>
  </si>
  <si>
    <t>Nhà làm việc của Ban Quản lý chợ Thành phố</t>
  </si>
  <si>
    <t>Nhà kho do Phòng Tài chính – Kế hoạch Thành phố quản lý</t>
  </si>
  <si>
    <t>II</t>
  </si>
  <si>
    <t>III</t>
  </si>
  <si>
    <t>Hạng mục không xác định được thời gian xây dựng, không áp giá bồi thường, hỗ trợ</t>
  </si>
  <si>
    <t>Các hộ xây dựng trước ngày 01/7/2004: hỗ trợ 40% đơn giá (88 hộ)</t>
  </si>
  <si>
    <r>
      <t>Căn cứ Quyết định số 58/2019/QĐ-UBND ngày 26/12/2019 của UBND tỉnh Tây Ninh: Giảm 8% đơn giá do tường quét vôi
3.230.000 - (8% x 3.230.000) = 2.971.600 đồng/m</t>
    </r>
    <r>
      <rPr>
        <vertAlign val="superscript"/>
        <sz val="10.5"/>
        <rFont val="Times New Roman"/>
        <family val="1"/>
      </rPr>
      <t xml:space="preserve">2.
</t>
    </r>
    <r>
      <rPr>
        <sz val="10.5"/>
        <rFont val="Times New Roman"/>
        <family val="1"/>
      </rPr>
      <t>Hỗ trợ 40% đơn giá 2.971.600 đồng/m</t>
    </r>
    <r>
      <rPr>
        <vertAlign val="superscript"/>
        <sz val="10.5"/>
        <rFont val="Times New Roman"/>
        <family val="1"/>
      </rPr>
      <t>2</t>
    </r>
    <r>
      <rPr>
        <sz val="10.5"/>
        <rFont val="Times New Roman"/>
        <family val="1"/>
      </rPr>
      <t>.</t>
    </r>
  </si>
  <si>
    <r>
      <t>Căn cứ Quyết định số 58/2019/QĐ-UBND ngày 26/12/2019 của UBND tỉnh Tây Ninh.
Hỗ trợ 40% đơn giá 7.030.000 đồng/m</t>
    </r>
    <r>
      <rPr>
        <vertAlign val="superscript"/>
        <sz val="10.5"/>
        <rFont val="Times New Roman"/>
        <family val="1"/>
      </rPr>
      <t>2</t>
    </r>
    <r>
      <rPr>
        <sz val="10.5"/>
        <rFont val="Times New Roman"/>
        <family val="1"/>
      </rPr>
      <t>.</t>
    </r>
  </si>
  <si>
    <r>
      <t>Hỗ trợ 40% đơn giá 3.230.000 đồng/m</t>
    </r>
    <r>
      <rPr>
        <vertAlign val="superscript"/>
        <sz val="10.5"/>
        <rFont val="Times New Roman"/>
        <family val="1"/>
      </rPr>
      <t>2</t>
    </r>
    <r>
      <rPr>
        <sz val="10.5"/>
        <rFont val="Times New Roman"/>
        <family val="1"/>
      </rPr>
      <t>.</t>
    </r>
  </si>
  <si>
    <r>
      <t>Căn cứ Quyết định số 58/2019/QĐ-UBND ngày 26/12/2019 của UBND tỉnh Tây Ninh: Giảm 8% đơn giá do tường quét vôi 
3.230.000 - (8% x 3.230.000) = 2.971.600 đồng/m</t>
    </r>
    <r>
      <rPr>
        <vertAlign val="superscript"/>
        <sz val="10.5"/>
        <rFont val="Times New Roman"/>
        <family val="1"/>
      </rPr>
      <t xml:space="preserve">2.
</t>
    </r>
    <r>
      <rPr>
        <sz val="10"/>
        <rFont val="Times New Roman"/>
        <family val="1"/>
      </rPr>
      <t>Hỗ trợ 40% đơn giá 2.971.600 đồng/m</t>
    </r>
    <r>
      <rPr>
        <vertAlign val="superscript"/>
        <sz val="10"/>
        <rFont val="Times New Roman"/>
        <family val="1"/>
      </rPr>
      <t>2</t>
    </r>
    <r>
      <rPr>
        <sz val="10"/>
        <rFont val="Times New Roman"/>
        <family val="1"/>
      </rPr>
      <t>.</t>
    </r>
  </si>
  <si>
    <r>
      <t>Căn cứ Quyết định số 58/2019/QĐ-UBND ngày 26/12/2019 của UBND tỉnh Tây Ninh: Giảm 8% đơn giá do tường quét vôi; Giảm 160.000 đồng/m</t>
    </r>
    <r>
      <rPr>
        <vertAlign val="superscript"/>
        <sz val="10.5"/>
        <rFont val="Times New Roman"/>
        <family val="1"/>
      </rPr>
      <t>2</t>
    </r>
    <r>
      <rPr>
        <sz val="10.5"/>
        <rFont val="Times New Roman"/>
        <family val="1"/>
      </rPr>
      <t xml:space="preserve"> do nền xi măng.
3.230.000-(8% x 3.230.000)-160.000 = 2.811.000 đồng/m</t>
    </r>
    <r>
      <rPr>
        <vertAlign val="superscript"/>
        <sz val="10.5"/>
        <rFont val="Times New Roman"/>
        <family val="1"/>
      </rPr>
      <t>2</t>
    </r>
    <r>
      <rPr>
        <sz val="10.5"/>
        <rFont val="Times New Roman"/>
        <family val="1"/>
      </rPr>
      <t>. Hỗ trợ 40% đơn giá 2.811.000 đồng/m</t>
    </r>
    <r>
      <rPr>
        <vertAlign val="superscript"/>
        <sz val="10.5"/>
        <rFont val="Times New Roman"/>
        <family val="1"/>
      </rPr>
      <t>2</t>
    </r>
    <r>
      <rPr>
        <sz val="10.5"/>
        <rFont val="Times New Roman"/>
        <family val="1"/>
      </rPr>
      <t>.</t>
    </r>
  </si>
  <si>
    <r>
      <t>Căn cứ Quyết định số 58/2019/QĐ-UBND ngày 26/12/2019 của UBND tỉnh Tây Ninh:
Giảm 150.000 đồng/m</t>
    </r>
    <r>
      <rPr>
        <vertAlign val="superscript"/>
        <sz val="10.5"/>
        <rFont val="Times New Roman"/>
        <family val="1"/>
      </rPr>
      <t>2</t>
    </r>
    <r>
      <rPr>
        <sz val="10.5"/>
        <rFont val="Times New Roman"/>
        <family val="1"/>
      </rPr>
      <t xml:space="preserve"> do không có trần; Giảm 8% đơn giá do tường quét vôi
3.230.000 - 150.000 - (8% x 3.230.000)= 2.821.600 đồng/m</t>
    </r>
    <r>
      <rPr>
        <vertAlign val="superscript"/>
        <sz val="10.5"/>
        <rFont val="Times New Roman"/>
        <family val="1"/>
      </rPr>
      <t xml:space="preserve">2
</t>
    </r>
    <r>
      <rPr>
        <sz val="10.5"/>
        <rFont val="Times New Roman"/>
        <family val="1"/>
      </rPr>
      <t>Hỗ trợ 40% đơn giá 2.821.600 đồng/m2.</t>
    </r>
  </si>
  <si>
    <r>
      <t>Căn cứ Quyết định số 58/2019/QĐ-UBND ngày 26/12/2019 của UBND tỉnh Tây Ninh:
Giảm 150.000 đồng/m</t>
    </r>
    <r>
      <rPr>
        <vertAlign val="superscript"/>
        <sz val="10.5"/>
        <rFont val="Times New Roman"/>
        <family val="1"/>
      </rPr>
      <t>2</t>
    </r>
    <r>
      <rPr>
        <sz val="10.5"/>
        <rFont val="Times New Roman"/>
        <family val="1"/>
      </rPr>
      <t xml:space="preserve"> do không có trần; Giảm 8% đơn giá do tường quét vôi
3.230.000 - 150.000 - (8% x 3.230.000) = 2.821.600 đồng/m</t>
    </r>
    <r>
      <rPr>
        <vertAlign val="superscript"/>
        <sz val="10.5"/>
        <rFont val="Times New Roman"/>
        <family val="1"/>
      </rPr>
      <t xml:space="preserve">2
</t>
    </r>
    <r>
      <rPr>
        <sz val="10.5"/>
        <rFont val="Times New Roman"/>
        <family val="1"/>
      </rPr>
      <t>Hỗ trợ 40% đơn giá 2.821.600 đồng/m</t>
    </r>
    <r>
      <rPr>
        <vertAlign val="superscript"/>
        <sz val="10.5"/>
        <rFont val="Times New Roman"/>
        <family val="1"/>
      </rPr>
      <t>2</t>
    </r>
    <r>
      <rPr>
        <sz val="10.5"/>
        <rFont val="Times New Roman"/>
        <family val="1"/>
      </rPr>
      <t>.</t>
    </r>
  </si>
  <si>
    <r>
      <t>Căn cứ Quyết định số 58/2019/QĐ-UBND ngày 26/12/2019 của UBND tỉnh Tây Ninh: Giảm 8% đơn giá do tường quét vôi 
3.230.000 - (8% x 3.230.000) = 2.971.600 đồng/m</t>
    </r>
    <r>
      <rPr>
        <vertAlign val="superscript"/>
        <sz val="10.5"/>
        <rFont val="Times New Roman"/>
        <family val="1"/>
      </rPr>
      <t xml:space="preserve">2
</t>
    </r>
    <r>
      <rPr>
        <sz val="10.5"/>
        <rFont val="Times New Roman"/>
        <family val="1"/>
      </rPr>
      <t>Hỗ trợ 40% đơn giá 2.971.600 đồng/m</t>
    </r>
    <r>
      <rPr>
        <vertAlign val="superscript"/>
        <sz val="10.5"/>
        <rFont val="Times New Roman"/>
        <family val="1"/>
      </rPr>
      <t>2</t>
    </r>
    <r>
      <rPr>
        <sz val="10.5"/>
        <rFont val="Times New Roman"/>
        <family val="1"/>
      </rPr>
      <t>.</t>
    </r>
  </si>
  <si>
    <t>Ki ốt số 34: Móng gạch, cột gạch, tường gạch xây tô quét vôi, mặt dựng tô đá rửa, mái tôn, trần ván ép, nền gạch bông, cửa sắt kéo</t>
  </si>
  <si>
    <r>
      <t>Căn cứ Quyết định số 58/2019/QĐ-UBND ngày 26/12/2019 của UBND tỉnh Tây Ninh: Giảm 8% đơn giá do tường quét vôi
3.230.000 - (8% x 3.230.000) = 2.971.600 đồng/m</t>
    </r>
    <r>
      <rPr>
        <vertAlign val="superscript"/>
        <sz val="10.5"/>
        <rFont val="Times New Roman"/>
        <family val="1"/>
      </rPr>
      <t xml:space="preserve">2
</t>
    </r>
    <r>
      <rPr>
        <sz val="10.5"/>
        <rFont val="Times New Roman"/>
        <family val="1"/>
      </rPr>
      <t>Hỗ trợ 40% đơn giá 2.971.600 đồng/m</t>
    </r>
    <r>
      <rPr>
        <vertAlign val="superscript"/>
        <sz val="10.5"/>
        <rFont val="Times New Roman"/>
        <family val="1"/>
      </rPr>
      <t>2</t>
    </r>
    <r>
      <rPr>
        <sz val="10.5"/>
        <rFont val="Times New Roman"/>
        <family val="1"/>
      </rPr>
      <t>.</t>
    </r>
  </si>
  <si>
    <t>Căn cứ Quyết định số 58/2019/QĐ-UBND ngày 26/12/2019 của UBND tỉnh Tây Ninh.
Hỗ trợ 40% đơn giá 7.030.000 đồng/m2.</t>
  </si>
  <si>
    <t>Ki ốt số 22: móng gạch, cột gạch, tường gạch xây tô sơn bê + đá rửa, mái tôn + ván ép, nền gạch bông, trần tôn lạnh + ván ép</t>
  </si>
  <si>
    <r>
      <t>Căn cứ Quyết định số 58/2019/QĐ-UBND ngày 26/12/2019 của UBND tỉnh Tây Ninh. 
Hỗ trợ 40% đơn giá 7.030.000 đồng/m</t>
    </r>
    <r>
      <rPr>
        <vertAlign val="superscript"/>
        <sz val="10.5"/>
        <rFont val="Times New Roman"/>
        <family val="1"/>
      </rPr>
      <t>2</t>
    </r>
    <r>
      <rPr>
        <sz val="10.5"/>
        <rFont val="Times New Roman"/>
        <family val="1"/>
      </rPr>
      <t>.</t>
    </r>
  </si>
  <si>
    <t>Ki ốt số 29 (02 ki ốt): móng gạch, cột gạch, tường gạch xây tô, mặt ngoài tô đá rửa, mái tôn, trần tôn lạnh, nền gạch men, cửa sắt kính + sắt kéo</t>
  </si>
  <si>
    <r>
      <t>Căn cứ Quyết định số 58/2019/QĐ-UBND ngày 26/12/2019 của UBND tỉnh Tây Ninh: Giảm 8% đơn giá do tường quét vôi
3.230.000 - (8% x 3.230.000) = 2.971.600 đồng/m</t>
    </r>
    <r>
      <rPr>
        <vertAlign val="superscript"/>
        <sz val="10.5"/>
        <rFont val="Times New Roman"/>
        <family val="1"/>
      </rPr>
      <t xml:space="preserve">2
</t>
    </r>
    <r>
      <rPr>
        <sz val="10.5"/>
        <rFont val="Times New Roman"/>
        <family val="1"/>
      </rPr>
      <t>Hỗ trợ 40% đơn giá 2.971.600 đồng/m</t>
    </r>
    <r>
      <rPr>
        <vertAlign val="superscript"/>
        <sz val="10.5"/>
        <rFont val="Times New Roman"/>
        <family val="1"/>
      </rPr>
      <t>2</t>
    </r>
  </si>
  <si>
    <r>
      <t>Căn cứ Quyết định số 58/2019/QĐ-UBND ngày 26/12/2019 của UBND tỉnh Tây Ninh:
Giảm 150.000 đồng/m</t>
    </r>
    <r>
      <rPr>
        <vertAlign val="superscript"/>
        <sz val="10.5"/>
        <rFont val="Times New Roman"/>
        <family val="1"/>
      </rPr>
      <t>2</t>
    </r>
    <r>
      <rPr>
        <sz val="10.5"/>
        <rFont val="Times New Roman"/>
        <family val="1"/>
      </rPr>
      <t xml:space="preserve"> do không có trần; Giảm 8% đơn giá do tường quét vôi.
3.230.000 - 150.000 - (8% x 3.230.000) =  2.821.600 đồng/m</t>
    </r>
    <r>
      <rPr>
        <vertAlign val="superscript"/>
        <sz val="10.5"/>
        <rFont val="Times New Roman"/>
        <family val="1"/>
      </rPr>
      <t xml:space="preserve">2.
</t>
    </r>
    <r>
      <rPr>
        <sz val="10.5"/>
        <rFont val="Times New Roman"/>
        <family val="1"/>
      </rPr>
      <t>Hỗ trợ 40% đơn giá 2.821.600 đồng/m</t>
    </r>
    <r>
      <rPr>
        <vertAlign val="superscript"/>
        <sz val="10.5"/>
        <rFont val="Times New Roman"/>
        <family val="1"/>
      </rPr>
      <t>2</t>
    </r>
    <r>
      <rPr>
        <sz val="10.5"/>
        <rFont val="Times New Roman"/>
        <family val="1"/>
      </rPr>
      <t>.</t>
    </r>
  </si>
  <si>
    <r>
      <t>Căn cứ Quyết định số 58/2019/QĐ-UBND ngày 26/12/2019 của UBND tỉnh Tây Ninh: Giảm 8% đơn giá do tường quét vôi
3.230.000 - (8% x 3.230.000) = 2.971.600 đồng/m</t>
    </r>
    <r>
      <rPr>
        <vertAlign val="superscript"/>
        <sz val="10.5"/>
        <rFont val="Times New Roman"/>
        <family val="1"/>
      </rPr>
      <t xml:space="preserve">2
</t>
    </r>
    <r>
      <rPr>
        <sz val="10.5"/>
        <rFont val="Times New Roman"/>
        <family val="1"/>
      </rPr>
      <t>Hỗ trợ 40% đơn giá  2.971.600 đồng/m</t>
    </r>
    <r>
      <rPr>
        <vertAlign val="superscript"/>
        <sz val="10.5"/>
        <rFont val="Times New Roman"/>
        <family val="1"/>
      </rPr>
      <t>2</t>
    </r>
    <r>
      <rPr>
        <sz val="10.5"/>
        <rFont val="Times New Roman"/>
        <family val="1"/>
      </rPr>
      <t>.</t>
    </r>
  </si>
  <si>
    <r>
      <t>Căn cứ Quyết định số 58/2019/QĐ-UBND ngày 26/12/2019 của UBND tỉnh Tây Ninh
Hỗ trợ 40% đơn giá 7.030.000 đồng/m</t>
    </r>
    <r>
      <rPr>
        <vertAlign val="superscript"/>
        <sz val="10.5"/>
        <rFont val="Times New Roman"/>
        <family val="1"/>
      </rPr>
      <t>2</t>
    </r>
    <r>
      <rPr>
        <sz val="10.5"/>
        <rFont val="Times New Roman"/>
        <family val="1"/>
      </rPr>
      <t>.</t>
    </r>
  </si>
  <si>
    <r>
      <t>Căn cứ Quyết định số 58/2019/QĐ-UBND ngày 26/12/2019 của UBND tỉnh Tây Ninh
Hỗ trợ 40% đơn giá 3.230.000 đồng/m</t>
    </r>
    <r>
      <rPr>
        <vertAlign val="superscript"/>
        <sz val="10.5"/>
        <rFont val="Times New Roman"/>
        <family val="1"/>
      </rPr>
      <t>2</t>
    </r>
    <r>
      <rPr>
        <sz val="10.5"/>
        <rFont val="Times New Roman"/>
        <family val="1"/>
      </rPr>
      <t>.</t>
    </r>
  </si>
  <si>
    <r>
      <t>Căn cứ Quyết định số 58/2019/QĐ-UBND ngày 26/12/2019 của UBND tỉnh Tây Ninh: Giảm 8% đơn giá do tường quét vôi
3.230.000 - (8% x 3.230.000) = 2.971.600 đồng/m</t>
    </r>
    <r>
      <rPr>
        <vertAlign val="superscript"/>
        <sz val="10.5"/>
        <rFont val="Times New Roman"/>
        <family val="1"/>
      </rPr>
      <t xml:space="preserve">2
</t>
    </r>
    <r>
      <rPr>
        <sz val="10.5"/>
        <rFont val="Times New Roman"/>
        <family val="1"/>
      </rPr>
      <t>Hỗ trợ 40% đơn giá 2.971.600 đồng/m</t>
    </r>
    <r>
      <rPr>
        <vertAlign val="superscript"/>
        <sz val="10.5"/>
        <rFont val="Times New Roman"/>
        <family val="1"/>
      </rPr>
      <t>2.</t>
    </r>
  </si>
  <si>
    <r>
      <t>Căn cứ Quyết định số 58/2019/QĐ-UBND ngày 26/12/2019 của UBND tỉnh Tây Ninh: Giảm 8% đơn giá do tường quét vôi
 3.230.000 - (8% x 3.230.000) = 2.971.600 đồng/m</t>
    </r>
    <r>
      <rPr>
        <vertAlign val="superscript"/>
        <sz val="10.5"/>
        <rFont val="Times New Roman"/>
        <family val="1"/>
      </rPr>
      <t xml:space="preserve">2
</t>
    </r>
    <r>
      <rPr>
        <sz val="10.5"/>
        <rFont val="Times New Roman"/>
        <family val="1"/>
      </rPr>
      <t>Hỗ trợ 40% đơn giá 2.971.600 đồng/m</t>
    </r>
    <r>
      <rPr>
        <vertAlign val="superscript"/>
        <sz val="10.5"/>
        <rFont val="Times New Roman"/>
        <family val="1"/>
      </rPr>
      <t>2.</t>
    </r>
  </si>
  <si>
    <r>
      <t>Căn cứ Quyết định số 58/2019/QĐ-UBND ngày 26/12/2019 của UBND tỉnh Tây Ninh
Hỗ trợ 40% đơn giá 7.030.000 đồng/m</t>
    </r>
    <r>
      <rPr>
        <vertAlign val="superscript"/>
        <sz val="10.5"/>
        <rFont val="Times New Roman"/>
        <family val="1"/>
      </rPr>
      <t>2.</t>
    </r>
  </si>
  <si>
    <r>
      <t>Căn cứ Quyết định số 58/2019/QĐ-UBND ngày 26/12/2019 của UBND tỉnh Tây Ninh: Giảm 4% đơn giá do tường quét vôi mặt ngoài
3.230.000 - (4% x 3.230.000) = 3.100.800 đồng/m</t>
    </r>
    <r>
      <rPr>
        <vertAlign val="superscript"/>
        <sz val="10.5"/>
        <rFont val="Times New Roman"/>
        <family val="1"/>
      </rPr>
      <t xml:space="preserve">2
</t>
    </r>
    <r>
      <rPr>
        <sz val="10.5"/>
        <rFont val="Times New Roman"/>
        <family val="1"/>
      </rPr>
      <t>Hỗ trợ 40% đơn giá 3.100.800 đồng/m</t>
    </r>
    <r>
      <rPr>
        <vertAlign val="superscript"/>
        <sz val="10.5"/>
        <rFont val="Times New Roman"/>
        <family val="1"/>
      </rPr>
      <t>2</t>
    </r>
  </si>
  <si>
    <r>
      <t>Căn cứ Quyết định số 58/2019/QĐ-UBND ngày 26/12/2019 của UBND tỉnh Tây Ninh
Hỗ trợ 40% đơn giá 7.030.000 đồng/m</t>
    </r>
    <r>
      <rPr>
        <vertAlign val="superscript"/>
        <sz val="10.5"/>
        <rFont val="Times New Roman"/>
        <family val="1"/>
      </rPr>
      <t>2</t>
    </r>
  </si>
  <si>
    <r>
      <t>Căn cứ Quyết định số 58/2019/QĐ-UBND ngày 26/12/2019 của UBND tỉnh Tây Ninh: Giảm 160.000 đồng/m</t>
    </r>
    <r>
      <rPr>
        <vertAlign val="superscript"/>
        <sz val="10.5"/>
        <rFont val="Times New Roman"/>
        <family val="1"/>
      </rPr>
      <t>2</t>
    </r>
    <r>
      <rPr>
        <sz val="10.5"/>
        <rFont val="Times New Roman"/>
        <family val="1"/>
      </rPr>
      <t xml:space="preserve"> do nền xi măng
3.230.000 - 160.000 = 3.070.000 đồng/m</t>
    </r>
    <r>
      <rPr>
        <vertAlign val="superscript"/>
        <sz val="10.5"/>
        <rFont val="Times New Roman"/>
        <family val="1"/>
      </rPr>
      <t xml:space="preserve">2
</t>
    </r>
    <r>
      <rPr>
        <sz val="10.5"/>
        <rFont val="Times New Roman"/>
        <family val="1"/>
      </rPr>
      <t>Hỗ trợ 40% đơn giá 3.070.000 đồng/m</t>
    </r>
    <r>
      <rPr>
        <vertAlign val="superscript"/>
        <sz val="10.5"/>
        <rFont val="Times New Roman"/>
        <family val="1"/>
      </rPr>
      <t>2</t>
    </r>
  </si>
  <si>
    <t>Ki ốt số : móng gạch, cột gạch, tường gạch xây tô quét vôi, trần tôn lạnh, nền gạch men, cửa sắt kéo, mái tôn</t>
  </si>
  <si>
    <r>
      <t>Căn cứ Quyết định số 58/2019/QĐ-UBND ngày 26/12/2019 của UBND tỉnh Tây Ninh: Giảm 8% đơn giá do tường quét vôi
 3.230.000 - (8% x 3.230.000) = 2.971.600 đồng/m</t>
    </r>
    <r>
      <rPr>
        <vertAlign val="superscript"/>
        <sz val="10.5"/>
        <rFont val="Times New Roman"/>
        <family val="1"/>
      </rPr>
      <t xml:space="preserve">2
</t>
    </r>
    <r>
      <rPr>
        <sz val="10.5"/>
        <rFont val="Times New Roman"/>
        <family val="1"/>
      </rPr>
      <t>Hỗ trợ 40% đơn giá 2.971.600 đồng/m</t>
    </r>
    <r>
      <rPr>
        <vertAlign val="superscript"/>
        <sz val="10.5"/>
        <rFont val="Times New Roman"/>
        <family val="1"/>
      </rPr>
      <t>2</t>
    </r>
  </si>
  <si>
    <r>
      <t>Căn cứ Quyết định số 58/2019/QĐ-UBND ngày 26/12/2019 của UBND tỉnh Tây Ninh
Hỗ trợ 40% đơn giá 7.00.0000 đồng/m</t>
    </r>
    <r>
      <rPr>
        <vertAlign val="superscript"/>
        <sz val="10.5"/>
        <rFont val="Times New Roman"/>
        <family val="1"/>
      </rPr>
      <t>2</t>
    </r>
  </si>
  <si>
    <t>Ki ốt số 37: Móng gạch, cột gạch, tường gạch xây tô quét vôi, mặt dựng tô đá rửa, mái tôn, trần tôn lạnh, nền gạch men, cửa sắt</t>
  </si>
  <si>
    <r>
      <t>Căn cứ Quyết định số 58/2019/QĐ-UBND ngày 26/12/2019 của UBND tỉnh Tây Ninh: Giảm 8% đơn giá do tường quét vôi
 3.230.000 - (8% x 3.230.000) = 2.971.600 đồng
Hỗ trợ 40% đơn giá 2.971.600 đồng/m</t>
    </r>
    <r>
      <rPr>
        <vertAlign val="superscript"/>
        <sz val="10.5"/>
        <rFont val="Times New Roman"/>
        <family val="1"/>
      </rPr>
      <t>2</t>
    </r>
  </si>
  <si>
    <r>
      <t>Căn cứ Quyết định số 58/2019/QĐ-UBND ngày 26/12/2019 của UBND tỉnh Tây Ninh: Giảm 4% đơn giá do tường quét vôi 1 phần
3.230.000 - (4% x 3.230.000) = 3.100.800 đồng/m</t>
    </r>
    <r>
      <rPr>
        <vertAlign val="superscript"/>
        <sz val="10.5"/>
        <rFont val="Times New Roman"/>
        <family val="1"/>
      </rPr>
      <t xml:space="preserve">2
</t>
    </r>
    <r>
      <rPr>
        <sz val="10.5"/>
        <rFont val="Times New Roman"/>
        <family val="1"/>
      </rPr>
      <t>Hỗ trợ 40% đơn giá 3.100.800 đồng/m</t>
    </r>
    <r>
      <rPr>
        <vertAlign val="superscript"/>
        <sz val="10.5"/>
        <rFont val="Times New Roman"/>
        <family val="1"/>
      </rPr>
      <t>2</t>
    </r>
  </si>
  <si>
    <r>
      <t>Căn cứ Quyết định số 58/2019/QĐ-UBND ngày 26/12/2019 của UBND tỉnh Tây Ninh:
Giảm 150.000 đồng/m</t>
    </r>
    <r>
      <rPr>
        <vertAlign val="superscript"/>
        <sz val="10.5"/>
        <rFont val="Times New Roman"/>
        <family val="1"/>
      </rPr>
      <t>2</t>
    </r>
    <r>
      <rPr>
        <sz val="10.5"/>
        <rFont val="Times New Roman"/>
        <family val="1"/>
      </rPr>
      <t xml:space="preserve"> do không có trần; Giảm 8% đơn giá do tường quét vôi
3.230.000 - 150.000 - (8% x 3.230.000) = 2.821.600 đồng/m</t>
    </r>
    <r>
      <rPr>
        <vertAlign val="superscript"/>
        <sz val="10.5"/>
        <rFont val="Times New Roman"/>
        <family val="1"/>
      </rPr>
      <t xml:space="preserve">2.
</t>
    </r>
    <r>
      <rPr>
        <sz val="10.5"/>
        <rFont val="Times New Roman"/>
        <family val="1"/>
      </rPr>
      <t>Hỗ trợ 40% đơn giá 2.821.600 đồng/m</t>
    </r>
    <r>
      <rPr>
        <vertAlign val="superscript"/>
        <sz val="10.5"/>
        <rFont val="Times New Roman"/>
        <family val="1"/>
      </rPr>
      <t>2</t>
    </r>
  </si>
  <si>
    <r>
      <t>Căn cứ Quyết định số 58/2019/QĐ-UBND ngày 26/12/2019 của UBND tỉnh Tây Ninh:
Giảm 8% đơn giá do tường quét vôi; Giảm 150.000 đồng/m</t>
    </r>
    <r>
      <rPr>
        <vertAlign val="superscript"/>
        <sz val="10.5"/>
        <rFont val="Times New Roman"/>
        <family val="1"/>
      </rPr>
      <t>2</t>
    </r>
    <r>
      <rPr>
        <sz val="10.5"/>
        <rFont val="Times New Roman"/>
        <family val="1"/>
      </rPr>
      <t xml:space="preserve"> do không có trần.
3.230.000 -(8% x 3.230.000)-150.000 = 2.821.600 đồng/m</t>
    </r>
    <r>
      <rPr>
        <vertAlign val="superscript"/>
        <sz val="10.5"/>
        <rFont val="Times New Roman"/>
        <family val="1"/>
      </rPr>
      <t xml:space="preserve">2
</t>
    </r>
    <r>
      <rPr>
        <sz val="10.5"/>
        <rFont val="Times New Roman"/>
        <family val="1"/>
      </rPr>
      <t>Hỗ trợ 40% đơn giá 2.821.600 đồng/m</t>
    </r>
    <r>
      <rPr>
        <vertAlign val="superscript"/>
        <sz val="10.5"/>
        <rFont val="Times New Roman"/>
        <family val="1"/>
      </rPr>
      <t>2</t>
    </r>
  </si>
  <si>
    <r>
      <t>Căn cứ Quyết định số 58/2019/QĐ-UBND ngày 26/12/2019 của UBND tỉnh Tây Ninh:
Giảm 8% đơn giá do tường quét vôi; Giảm 150.000 đồng/m</t>
    </r>
    <r>
      <rPr>
        <vertAlign val="superscript"/>
        <sz val="10.5"/>
        <rFont val="Times New Roman"/>
        <family val="1"/>
      </rPr>
      <t>2</t>
    </r>
    <r>
      <rPr>
        <sz val="10.5"/>
        <rFont val="Times New Roman"/>
        <family val="1"/>
      </rPr>
      <t xml:space="preserve"> do không có trần.
3.230.000 - (3.230.000 x 8%) - 150.000 = 2.821.600 đồng/m</t>
    </r>
    <r>
      <rPr>
        <vertAlign val="superscript"/>
        <sz val="10.5"/>
        <rFont val="Times New Roman"/>
        <family val="1"/>
      </rPr>
      <t xml:space="preserve">2
</t>
    </r>
    <r>
      <rPr>
        <sz val="10.5"/>
        <rFont val="Times New Roman"/>
        <family val="1"/>
      </rPr>
      <t>Hỗ trợ 40% đơn giá  2.821.600  đồng/m</t>
    </r>
    <r>
      <rPr>
        <vertAlign val="superscript"/>
        <sz val="10.5"/>
        <rFont val="Times New Roman"/>
        <family val="1"/>
      </rPr>
      <t>2</t>
    </r>
  </si>
  <si>
    <r>
      <t>Căn cứ Quyết định số 58/2019/QĐ-UBND ngày 26/12/2019 của UBND tỉnh Tây Ninh: Giảm 8% đơn giá do tường quét vôi
3.230.000-(8% x 3.230.000) = 2.971.600 đồng/m</t>
    </r>
    <r>
      <rPr>
        <vertAlign val="superscript"/>
        <sz val="10.5"/>
        <rFont val="Times New Roman"/>
        <family val="1"/>
      </rPr>
      <t xml:space="preserve">2
</t>
    </r>
    <r>
      <rPr>
        <sz val="10.5"/>
        <rFont val="Times New Roman"/>
        <family val="1"/>
      </rPr>
      <t>Hỗ trợ 40% đơn giá 2.971.600 đồng/m</t>
    </r>
    <r>
      <rPr>
        <vertAlign val="superscript"/>
        <sz val="10.5"/>
        <rFont val="Times New Roman"/>
        <family val="1"/>
      </rPr>
      <t>2</t>
    </r>
  </si>
  <si>
    <r>
      <t>Căn cứ Quyết định số 58/2019/QĐ-UBND ngày 26/12/2019 của UBND tỉnh Tây Ninh:
Giảm 8% đơn giá do tường quét vôi; Giảm 150.000 đồng/m</t>
    </r>
    <r>
      <rPr>
        <vertAlign val="superscript"/>
        <sz val="10.5"/>
        <rFont val="Times New Roman"/>
        <family val="1"/>
      </rPr>
      <t>2</t>
    </r>
    <r>
      <rPr>
        <sz val="10.5"/>
        <rFont val="Times New Roman"/>
        <family val="1"/>
      </rPr>
      <t xml:space="preserve"> do không có trần.
3.230.000 - (3.230.000 x 8%) - 150.000 = 2.821.600 đồng/m</t>
    </r>
    <r>
      <rPr>
        <vertAlign val="superscript"/>
        <sz val="10.5"/>
        <rFont val="Times New Roman"/>
        <family val="1"/>
      </rPr>
      <t xml:space="preserve">2
</t>
    </r>
    <r>
      <rPr>
        <sz val="10.5"/>
        <rFont val="Times New Roman"/>
        <family val="1"/>
      </rPr>
      <t>Hỗ trợ 40% đơn giá 2.821.600 đồng/m</t>
    </r>
    <r>
      <rPr>
        <vertAlign val="superscript"/>
        <sz val="10.5"/>
        <rFont val="Times New Roman"/>
        <family val="1"/>
      </rPr>
      <t>2</t>
    </r>
  </si>
  <si>
    <t>Ki ốt số 32: Móng gạch, cột gạch, tường gạch xây tô quét vôi, mái tôn, trần tôn lạnh, nền gạch bông, cửa sắt + cửa kính</t>
  </si>
  <si>
    <r>
      <t>Căn cứ Quyết định số 58/2019/QĐ-UBND ngày 26/12/2019 của UBND tỉnh Tây Ninh: Giảm 8% đơn giá do tường quét vôi
3.230.000-(8% x 3.230.000) = 2.971.600 đồng/m</t>
    </r>
    <r>
      <rPr>
        <vertAlign val="superscript"/>
        <sz val="10.5"/>
        <rFont val="Times New Roman"/>
        <family val="1"/>
      </rPr>
      <t xml:space="preserve">2
</t>
    </r>
    <r>
      <rPr>
        <sz val="10.5"/>
        <rFont val="Times New Roman"/>
        <family val="1"/>
      </rPr>
      <t>Hỗ trợ 40% đơn giá  2.971.600 đồng/m</t>
    </r>
    <r>
      <rPr>
        <vertAlign val="superscript"/>
        <sz val="10.5"/>
        <rFont val="Times New Roman"/>
        <family val="1"/>
      </rPr>
      <t>2</t>
    </r>
  </si>
  <si>
    <t>Ki ốt 31: móng gạch, cột gạch, tường gạch xây tô quét vôi, mái tôn, trần ván ép, nền gạch bông, cửa sắt</t>
  </si>
  <si>
    <r>
      <t>Căn cứ Quyết định số 58/2019/QĐ-UBND ngày 26/12/2019 của UBND tỉnh Tây Ninh:  Giảm 8% đơn giá do tường quét vôi
3.230.000-(8% x 3.230.000) = 2.971.600 đồng/m</t>
    </r>
    <r>
      <rPr>
        <vertAlign val="superscript"/>
        <sz val="10.5"/>
        <rFont val="Times New Roman"/>
        <family val="1"/>
      </rPr>
      <t xml:space="preserve">2
</t>
    </r>
    <r>
      <rPr>
        <sz val="10.5"/>
        <rFont val="Times New Roman"/>
        <family val="1"/>
      </rPr>
      <t>Hỗ trợ 40% đơn giá 2.971.600 đồng/m</t>
    </r>
    <r>
      <rPr>
        <vertAlign val="superscript"/>
        <sz val="10.5"/>
        <rFont val="Times New Roman"/>
        <family val="1"/>
      </rPr>
      <t>2</t>
    </r>
  </si>
  <si>
    <t>Ki ốt số 28: móng gạch, cột gạch, tường gạch ống xây tô quét vôi, mặt dựng tô đá rửa, mái tôn, trần nhựa, nền gạch men, cửa nhôm</t>
  </si>
  <si>
    <r>
      <t>Căn cứ Quyết định số 58/2019/QĐ-UBND ngày 26/12/2019 của UBND tỉnh Tây Ninh Giảm 8% đơn giá do tường quét vôi
3.230.000 - (8% x 3.230.000) = 2.971.600 đồng/m</t>
    </r>
    <r>
      <rPr>
        <vertAlign val="superscript"/>
        <sz val="10.5"/>
        <rFont val="Times New Roman"/>
        <family val="1"/>
      </rPr>
      <t xml:space="preserve">2
</t>
    </r>
    <r>
      <rPr>
        <sz val="10.5"/>
        <rFont val="Times New Roman"/>
        <family val="1"/>
      </rPr>
      <t>Hỗ trợ 40% đơn giá 2.971.600 đồng/m</t>
    </r>
    <r>
      <rPr>
        <vertAlign val="superscript"/>
        <sz val="10.5"/>
        <rFont val="Times New Roman"/>
        <family val="1"/>
      </rPr>
      <t>2</t>
    </r>
  </si>
  <si>
    <t>Ki ốt số 50: móng gạch, cột gạch, tường gạch xây tô quét vôi, mái tôn, trần tôn lạnh, nền gạch men, cửa sắt kính</t>
  </si>
  <si>
    <t>Ki ốt số 51: Móng gạch, cột gạch, tường gạch xây tô quét vôi, mái tôn, trần tôn lạnh, nền gạch men, cửa sắt + nhôm kính</t>
  </si>
  <si>
    <t>Ki ốt số 52: Móng gạch, cột gạch, tường gạch xây tô quét vôi, mái tôn, trần nhựa, nền gạch men, cửa sắt kính</t>
  </si>
  <si>
    <t xml:space="preserve">Ki ốt số 53: Móng gạch, cột gạch, tường xây gạch có tô quét vôi, mái tôn, trần tôn lạnh, nền gạch bông, cửa sắt kính, không có nhà vệ sinh </t>
  </si>
  <si>
    <t>Căn cứ Quyết định số 58/2019/QĐ-UBND ngày 26/12/2019 của UBND tỉnh Tây Ninh
Hỗ trợ 40% đơn giá 7.030.000 đồng/m2</t>
  </si>
  <si>
    <t>Ki ốt số 47: Móng gạch, cột gạch, tường xây gạch có tô quét vôi, mái tôn, trần tôn lạnh, nền gạch men, cửa sắt kéo</t>
  </si>
  <si>
    <r>
      <t>Căn cứ Quyết định số 58/2019/QĐ-UBND ngày 26/12/2019 của UBND tỉnh Tây Ninh: Giảm 8% đơn giá do tường quét vôi:
3.230.000-(8% x 3.230.000) = 2.971.600 đồng/m</t>
    </r>
    <r>
      <rPr>
        <vertAlign val="superscript"/>
        <sz val="10.5"/>
        <rFont val="Times New Roman"/>
        <family val="1"/>
      </rPr>
      <t xml:space="preserve">2
</t>
    </r>
    <r>
      <rPr>
        <sz val="10.5"/>
        <rFont val="Times New Roman"/>
        <family val="1"/>
      </rPr>
      <t>Hỗ trợ 40% đơn giá 2.971.600 đồng/m</t>
    </r>
    <r>
      <rPr>
        <vertAlign val="superscript"/>
        <sz val="10.5"/>
        <rFont val="Times New Roman"/>
        <family val="1"/>
      </rPr>
      <t>2</t>
    </r>
  </si>
  <si>
    <t>A</t>
  </si>
  <si>
    <t xml:space="preserve">Khu vực phía ngoài chợ: 32 hộ hộ tự xây cất nhà tạm, mái che và 12 hộ mua lại nhà Công ty Nông thổ sản trước đây (Nhà xây dựng sẵn) </t>
  </si>
  <si>
    <t>CÁC HỘ XUNG QUANH CHỢ: 32 hộ - 11 hộ không hỗ trợ =21 hộ</t>
  </si>
  <si>
    <t>CÁC HỘ MUA LẠI NHÀ CỦA CÔNG TY NÔNG THỔ SẢN TRƯỚC ĐÂY: 12 hộ</t>
  </si>
  <si>
    <t>B</t>
  </si>
  <si>
    <t>Các hộ xây dựng sau ngày 01/7/2004 và các hộ xây cất các hạng mục: mái che di động, hàng rào... không xác định được thời gian xây dựng: không áp giá bồi thường, hỗ trợ (11 hộ)</t>
  </si>
  <si>
    <t>Khu vực phía trong chợ: 55 hộ (42 hộ mua 49 ki ot và 13 hộ xây dựng trên đất công)</t>
  </si>
  <si>
    <t>(Kèm theo Thông báo số    /TB-TTPTQĐ ngày  09/ 5/ 2023 của Trung tâm Phát triển quỹ đất Thành phố)</t>
  </si>
  <si>
    <t>Ki ốt số 38: móng gạch, cột gạch, tường gạch xây tô quét vôi, mái tôn, trần tôn lạnh</t>
  </si>
  <si>
    <r>
      <t>Giảm 10% đơn giá do tường không tô 1 mặt; Giảm 10% đơn giá do có 1 mặt tường mượn; Giảm 150.000 đồng/m</t>
    </r>
    <r>
      <rPr>
        <vertAlign val="superscript"/>
        <sz val="10.5"/>
        <rFont val="Times New Roman"/>
        <family val="1"/>
      </rPr>
      <t xml:space="preserve">2 </t>
    </r>
    <r>
      <rPr>
        <sz val="10.5"/>
        <rFont val="Times New Roman"/>
        <family val="1"/>
      </rPr>
      <t>do không có trần; Giảm 160.000 đồng/m</t>
    </r>
    <r>
      <rPr>
        <vertAlign val="superscript"/>
        <sz val="10.5"/>
        <rFont val="Times New Roman"/>
        <family val="1"/>
      </rPr>
      <t>2</t>
    </r>
    <r>
      <rPr>
        <sz val="10.5"/>
        <rFont val="Times New Roman"/>
        <family val="1"/>
      </rPr>
      <t xml:space="preserve"> do nền láng xi măng.
(3.230.000-(10% x 3.230.000)-(10% x 3.230.000) - 150.000-160.000) x 40% = 909.600 đồng/m</t>
    </r>
    <r>
      <rPr>
        <vertAlign val="superscript"/>
        <sz val="10.5"/>
        <rFont val="Times New Roman"/>
        <family val="1"/>
      </rPr>
      <t>2</t>
    </r>
    <r>
      <rPr>
        <sz val="10.5"/>
        <rFont val="Times New Roman"/>
        <family val="1"/>
      </rPr>
      <t>. 
(Hỗ trợ 40%)</t>
    </r>
  </si>
  <si>
    <r>
      <t>Giảm 8% đơn giá do tường quét vôi; Giảm 150.000 đồng/m</t>
    </r>
    <r>
      <rPr>
        <vertAlign val="superscript"/>
        <sz val="10.5"/>
        <rFont val="Times New Roman"/>
        <family val="1"/>
      </rPr>
      <t>2</t>
    </r>
    <r>
      <rPr>
        <sz val="10.5"/>
        <rFont val="Times New Roman"/>
        <family val="1"/>
      </rPr>
      <t xml:space="preserve"> do không đóng trần:
(3.230.00 - (8% x 3.230.000) -150.000) x 40% = 1.128.640 đồng/m</t>
    </r>
    <r>
      <rPr>
        <vertAlign val="superscript"/>
        <sz val="10.5"/>
        <rFont val="Times New Roman"/>
        <family val="1"/>
      </rPr>
      <t xml:space="preserve">2 </t>
    </r>
    <r>
      <rPr>
        <sz val="10.5"/>
        <rFont val="Times New Roman"/>
        <family val="1"/>
      </rPr>
      <t>. (Hỗ trợ 40%)</t>
    </r>
  </si>
  <si>
    <r>
      <t>Giảm 8% đơn giá do tường quét vôi; Giảm 150.000 đồng/m</t>
    </r>
    <r>
      <rPr>
        <vertAlign val="superscript"/>
        <sz val="10.5"/>
        <rFont val="Times New Roman"/>
        <family val="1"/>
      </rPr>
      <t xml:space="preserve">2 </t>
    </r>
    <r>
      <rPr>
        <sz val="10.5"/>
        <rFont val="Times New Roman"/>
        <family val="1"/>
      </rPr>
      <t>do không đóng trần
(3.230.000 - (8% x 3.230.000)-150.000) x 40% = 1.128.640 đồng/m</t>
    </r>
    <r>
      <rPr>
        <vertAlign val="superscript"/>
        <sz val="10.5"/>
        <rFont val="Times New Roman"/>
        <family val="1"/>
      </rPr>
      <t>2</t>
    </r>
    <r>
      <rPr>
        <sz val="10.5"/>
        <rFont val="Times New Roman"/>
        <family val="1"/>
      </rPr>
      <t>. (Hỗ trợ 40%)</t>
    </r>
  </si>
  <si>
    <r>
      <t>Căn cứ Quyết định số 58/2019/QĐ-UBND ngày 26/12/2019 của UBND tỉnh Tây Ninh: 
Giảm 8% đơn giá do tường quét vôi; Giảm 5% đơn giá do không có nhà vệ sinh trong nhà.
3.230.000 -(8% x 3.230.000) -(5% x 3.230.000) = 2.810.100 đồng/m</t>
    </r>
    <r>
      <rPr>
        <vertAlign val="superscript"/>
        <sz val="10.5"/>
        <rFont val="Times New Roman"/>
        <family val="1"/>
      </rPr>
      <t xml:space="preserve">2
</t>
    </r>
    <r>
      <rPr>
        <sz val="10.5"/>
        <rFont val="Times New Roman"/>
        <family val="1"/>
      </rPr>
      <t>Hỗ trợ 40% đơn giá 2.810.100 đồng/m</t>
    </r>
    <r>
      <rPr>
        <vertAlign val="superscript"/>
        <sz val="10.5"/>
        <rFont val="Times New Roman"/>
        <family val="1"/>
      </rPr>
      <t>2</t>
    </r>
  </si>
  <si>
    <r>
      <t>Giảm 8% đơn giá do tường quét vôi. 
(3.230.000-(8% x 3.230.000)) x 40% = 1.188.640 đồng/m</t>
    </r>
    <r>
      <rPr>
        <vertAlign val="superscript"/>
        <sz val="10.5"/>
        <rFont val="Times New Roman"/>
        <family val="1"/>
      </rPr>
      <t>2</t>
    </r>
    <r>
      <rPr>
        <sz val="10.5"/>
        <rFont val="Times New Roman"/>
        <family val="1"/>
      </rPr>
      <t xml:space="preserve"> .(Hỗ trợ 40%)</t>
    </r>
  </si>
  <si>
    <t>Đ/C: số 47 đường Phạm Văn Chiêu, Khu phố 1, Phường 2, thành phố Tây Ninh. ĐT: 0919058747 (a. Tuấn)</t>
  </si>
  <si>
    <t>Đ/C: số 59 đường Phạm văn Chiêu, Khu phố 1, Phường 2, thành phố Tây Ninh.
 ĐT: 0907040449</t>
  </si>
  <si>
    <t>Đ/C: số 66, 68 đường Phạm Văn Chiêu, Khu phố 1, Phường 2, thành phố Tây Ninh. ĐT: 0918623690</t>
  </si>
  <si>
    <r>
      <t>- Căn cứ quy định tại Điểm b Khoản 1 Điều 23 Quyết định số 17/2015/QĐ-UBND ngày 02/4/2015 của UBND tỉnh Tây Ninh: Hỗ trợ 40% đơn giá.
- Đơn giá theo Quyết định số 58/2019/QĐ-UBND ngày 26/12/2019 của UBND tỉnh Tây Ninh 498.000 đồng/m</t>
    </r>
    <r>
      <rPr>
        <vertAlign val="superscript"/>
        <sz val="10.5"/>
        <rFont val="Times New Roman"/>
        <family val="1"/>
      </rPr>
      <t xml:space="preserve">2 
</t>
    </r>
    <r>
      <rPr>
        <sz val="10.5"/>
        <rFont val="Times New Roman"/>
        <family val="1"/>
      </rPr>
      <t>498.000 x 40% = 199.200 đồng/m</t>
    </r>
    <r>
      <rPr>
        <vertAlign val="superscript"/>
        <sz val="10.5"/>
        <rFont val="Times New Roman"/>
        <family val="1"/>
      </rPr>
      <t xml:space="preserve">2 </t>
    </r>
    <r>
      <rPr>
        <sz val="10.5"/>
        <rFont val="Times New Roman"/>
        <family val="1"/>
      </rPr>
      <t>(Hỗ trợ 40%)</t>
    </r>
  </si>
</sst>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VND&quot;#,##0_);\(&quot;VND&quot;#,##0\)"/>
    <numFmt numFmtId="165" formatCode="&quot;VND&quot;#,##0_);[Red]\(&quot;VND&quot;#,##0\)"/>
    <numFmt numFmtId="166" formatCode="&quot;VND&quot;#,##0.00_);\(&quot;VND&quot;#,##0.00\)"/>
    <numFmt numFmtId="167" formatCode="&quot;VND&quot;#,##0.00_);[Red]\(&quot;VND&quot;#,##0.00\)"/>
    <numFmt numFmtId="168" formatCode="_(&quot;VND&quot;* #,##0_);_(&quot;VND&quot;* \(#,##0\);_(&quot;VND&quot;* &quot;-&quot;_);_(@_)"/>
    <numFmt numFmtId="169" formatCode="_(&quot;VND&quot;* #,##0.00_);_(&quot;VND&quot;* \(#,##0.00\);_(&quot;VND&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quot;€&quot;\ * #,##0.00_);_(&quot;€&quot;\ * \(#,##0.00\);_(&quot;€&quot;\ * &quot;-&quot;??_);_(@_)"/>
    <numFmt numFmtId="182" formatCode="#,##0\ &quot;€&quot;;\-#,##0\ &quot;€&quot;"/>
    <numFmt numFmtId="183" formatCode="#,##0\ &quot;€&quot;;[Red]\-#,##0\ &quot;€&quot;"/>
    <numFmt numFmtId="184" formatCode="#,##0.00\ &quot;€&quot;;\-#,##0.00\ &quot;€&quot;"/>
    <numFmt numFmtId="185" formatCode="#,##0.00\ &quot;€&quot;;[Red]\-#,##0.00\ &quot;€&quot;"/>
    <numFmt numFmtId="186" formatCode="_-* #,##0\ &quot;€&quot;_-;\-* #,##0\ &quot;€&quot;_-;_-* &quot;-&quot;\ &quot;€&quot;_-;_-@_-"/>
    <numFmt numFmtId="187" formatCode="_-* #,##0\ _€_-;\-* #,##0\ _€_-;_-* &quot;-&quot;\ _€_-;_-@_-"/>
    <numFmt numFmtId="188" formatCode="_-* #,##0.00\ &quot;€&quot;_-;\-* #,##0.00\ &quot;€&quot;_-;_-* &quot;-&quot;??\ &quot;€&quot;_-;_-@_-"/>
    <numFmt numFmtId="189" formatCode="_-* #,##0.00\ _€_-;\-* #,##0.00\ _€_-;_-* &quot;-&quot;??\ _€_-;_-@_-"/>
    <numFmt numFmtId="190" formatCode="#,##0.0"/>
    <numFmt numFmtId="191" formatCode="0.0"/>
    <numFmt numFmtId="192" formatCode="_(* #,##0_);_(* \(#,##0\);_(* &quot;-&quot;??_);_(@_)"/>
    <numFmt numFmtId="193" formatCode="&quot;Yes&quot;;&quot;Yes&quot;;&quot;No&quot;"/>
    <numFmt numFmtId="194" formatCode="&quot;True&quot;;&quot;True&quot;;&quot;False&quot;"/>
    <numFmt numFmtId="195" formatCode="&quot;On&quot;;&quot;On&quot;;&quot;Off&quot;"/>
    <numFmt numFmtId="196" formatCode="[$€-2]\ #,##0.00_);[Red]\([$€-2]\ #,##0.00\)"/>
  </numFmts>
  <fonts count="61">
    <font>
      <sz val="12"/>
      <name val="VNI-Times"/>
      <family val="0"/>
    </font>
    <font>
      <sz val="10"/>
      <name val="Arial"/>
      <family val="2"/>
    </font>
    <font>
      <sz val="13"/>
      <name val="Times New Roman"/>
      <family val="1"/>
    </font>
    <font>
      <b/>
      <sz val="13"/>
      <name val="Times New Roman"/>
      <family val="1"/>
    </font>
    <font>
      <sz val="12"/>
      <name val="Times New Roman"/>
      <family val="1"/>
    </font>
    <font>
      <b/>
      <sz val="12"/>
      <name val="Times New Roman"/>
      <family val="1"/>
    </font>
    <font>
      <vertAlign val="superscript"/>
      <sz val="12"/>
      <name val="Times New Roman"/>
      <family val="1"/>
    </font>
    <font>
      <b/>
      <i/>
      <sz val="12"/>
      <name val="Times New Roman"/>
      <family val="1"/>
    </font>
    <font>
      <i/>
      <sz val="12"/>
      <name val="Times New Roman"/>
      <family val="1"/>
    </font>
    <font>
      <b/>
      <sz val="14"/>
      <name val="Times New Roman"/>
      <family val="1"/>
    </font>
    <font>
      <sz val="14"/>
      <name val="Times New Roman"/>
      <family val="1"/>
    </font>
    <font>
      <b/>
      <sz val="11"/>
      <name val="Times New Roman"/>
      <family val="1"/>
    </font>
    <font>
      <sz val="10"/>
      <name val="Times New Roman"/>
      <family val="1"/>
    </font>
    <font>
      <vertAlign val="superscript"/>
      <sz val="10"/>
      <name val="Times New Roman"/>
      <family val="1"/>
    </font>
    <font>
      <i/>
      <sz val="10"/>
      <name val="Times New Roman"/>
      <family val="1"/>
    </font>
    <font>
      <sz val="10.5"/>
      <name val="Times New Roman"/>
      <family val="1"/>
    </font>
    <font>
      <b/>
      <sz val="10.5"/>
      <name val="Times New Roman"/>
      <family val="1"/>
    </font>
    <font>
      <vertAlign val="superscript"/>
      <sz val="10.5"/>
      <name val="Times New Roman"/>
      <family val="1"/>
    </font>
    <font>
      <i/>
      <sz val="10.5"/>
      <name val="Times New Roman"/>
      <family val="1"/>
    </font>
    <font>
      <i/>
      <sz val="13"/>
      <name val="Times New Roman"/>
      <family val="1"/>
    </font>
    <font>
      <b/>
      <i/>
      <sz val="13"/>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VNI-Times"/>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VNI-Times"/>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VNI-Times"/>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VNI-Times"/>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tted"/>
      <bottom style="dotted"/>
    </border>
    <border>
      <left style="thin"/>
      <right style="thin"/>
      <top>
        <color indexed="63"/>
      </top>
      <bottom style="dotted"/>
    </border>
    <border>
      <left style="thin"/>
      <right style="thin"/>
      <top style="thin"/>
      <bottom style="dotted"/>
    </border>
    <border>
      <left style="thin"/>
      <right style="thin"/>
      <top style="thin"/>
      <bottom style="thin"/>
    </border>
    <border>
      <left style="thin"/>
      <right style="thin"/>
      <top>
        <color indexed="63"/>
      </top>
      <bottom>
        <color indexed="63"/>
      </bottom>
    </border>
    <border>
      <left style="thin"/>
      <right style="thin"/>
      <top style="dotted"/>
      <bottom style="thin"/>
    </border>
    <border>
      <left style="thin"/>
      <right style="thin"/>
      <top style="dotted"/>
      <bottom>
        <color indexed="63"/>
      </bottom>
    </border>
    <border>
      <left style="thin"/>
      <right>
        <color indexed="63"/>
      </right>
      <top>
        <color indexed="63"/>
      </top>
      <bottom style="dotted"/>
    </border>
    <border>
      <left style="thin"/>
      <right style="thin"/>
      <top style="thin"/>
      <bottom>
        <color indexed="63"/>
      </bottom>
    </border>
    <border>
      <left style="thin"/>
      <right>
        <color indexed="63"/>
      </right>
      <top>
        <color indexed="63"/>
      </top>
      <bottom>
        <color indexed="63"/>
      </bottom>
    </border>
    <border>
      <left style="thin"/>
      <right style="thin"/>
      <top style="hair"/>
      <bottom style="hair"/>
    </border>
    <border>
      <left style="thin"/>
      <right style="thin"/>
      <top>
        <color indexed="63"/>
      </top>
      <bottom style="thin"/>
    </border>
    <border>
      <left>
        <color indexed="63"/>
      </left>
      <right style="thin"/>
      <top style="thin"/>
      <bottom>
        <color indexed="63"/>
      </bottom>
    </border>
    <border>
      <left style="thin"/>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1"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25">
    <xf numFmtId="0" fontId="0" fillId="0" borderId="0" xfId="0" applyAlignment="1">
      <alignment/>
    </xf>
    <xf numFmtId="0" fontId="4" fillId="33" borderId="10" xfId="0" applyFont="1" applyFill="1" applyBorder="1" applyAlignment="1">
      <alignment horizontal="justify" vertical="center" wrapText="1"/>
    </xf>
    <xf numFmtId="0" fontId="5" fillId="33" borderId="11" xfId="0" applyFont="1" applyFill="1" applyBorder="1" applyAlignment="1">
      <alignment horizontal="center" vertical="center"/>
    </xf>
    <xf numFmtId="0" fontId="4" fillId="33" borderId="11" xfId="0" applyFont="1" applyFill="1" applyBorder="1" applyAlignment="1">
      <alignment horizontal="justify" vertical="center" wrapText="1"/>
    </xf>
    <xf numFmtId="2" fontId="4" fillId="33" borderId="10" xfId="0" applyNumberFormat="1" applyFont="1" applyFill="1" applyBorder="1" applyAlignment="1">
      <alignment horizontal="justify" vertical="center" wrapText="1"/>
    </xf>
    <xf numFmtId="0" fontId="4" fillId="33" borderId="12" xfId="0" applyFont="1" applyFill="1" applyBorder="1" applyAlignment="1">
      <alignment horizontal="justify" vertical="center" wrapText="1"/>
    </xf>
    <xf numFmtId="3" fontId="2" fillId="33" borderId="0" xfId="0" applyNumberFormat="1" applyFont="1" applyFill="1" applyAlignment="1">
      <alignment/>
    </xf>
    <xf numFmtId="3" fontId="4" fillId="33" borderId="10" xfId="0" applyNumberFormat="1" applyFont="1" applyFill="1" applyBorder="1" applyAlignment="1">
      <alignment vertical="center"/>
    </xf>
    <xf numFmtId="3" fontId="4" fillId="33" borderId="11" xfId="0" applyNumberFormat="1" applyFont="1" applyFill="1" applyBorder="1" applyAlignment="1">
      <alignment vertical="center"/>
    </xf>
    <xf numFmtId="3" fontId="8" fillId="33" borderId="13" xfId="0" applyNumberFormat="1" applyFont="1" applyFill="1" applyBorder="1" applyAlignment="1">
      <alignment vertical="center"/>
    </xf>
    <xf numFmtId="3" fontId="4" fillId="33" borderId="14" xfId="0" applyNumberFormat="1" applyFont="1" applyFill="1" applyBorder="1" applyAlignment="1">
      <alignment vertical="center"/>
    </xf>
    <xf numFmtId="3" fontId="4" fillId="33" borderId="0" xfId="0" applyNumberFormat="1" applyFont="1" applyFill="1" applyAlignment="1">
      <alignment/>
    </xf>
    <xf numFmtId="3" fontId="4" fillId="33" borderId="10" xfId="0" applyNumberFormat="1" applyFont="1" applyFill="1" applyBorder="1" applyAlignment="1">
      <alignment horizontal="right" vertical="center"/>
    </xf>
    <xf numFmtId="3" fontId="4" fillId="33" borderId="11" xfId="0" applyNumberFormat="1" applyFont="1" applyFill="1" applyBorder="1" applyAlignment="1">
      <alignment horizontal="right" vertical="center"/>
    </xf>
    <xf numFmtId="3" fontId="4" fillId="33" borderId="15" xfId="0" applyNumberFormat="1" applyFont="1" applyFill="1" applyBorder="1" applyAlignment="1">
      <alignment vertical="center"/>
    </xf>
    <xf numFmtId="3" fontId="4" fillId="33" borderId="12" xfId="0" applyNumberFormat="1" applyFont="1" applyFill="1" applyBorder="1" applyAlignment="1">
      <alignment vertical="center"/>
    </xf>
    <xf numFmtId="0" fontId="5" fillId="33" borderId="12" xfId="0" applyFont="1" applyFill="1" applyBorder="1" applyAlignment="1">
      <alignment horizontal="center" vertical="center"/>
    </xf>
    <xf numFmtId="0" fontId="5" fillId="33" borderId="12" xfId="0" applyFont="1" applyFill="1" applyBorder="1" applyAlignment="1">
      <alignment horizontal="left" vertical="center"/>
    </xf>
    <xf numFmtId="0" fontId="4" fillId="33" borderId="11" xfId="0" applyFont="1" applyFill="1" applyBorder="1" applyAlignment="1">
      <alignment horizontal="center" vertical="center"/>
    </xf>
    <xf numFmtId="4" fontId="4" fillId="33" borderId="12" xfId="0" applyNumberFormat="1" applyFont="1" applyFill="1" applyBorder="1" applyAlignment="1">
      <alignment horizontal="center" vertical="center"/>
    </xf>
    <xf numFmtId="0" fontId="8" fillId="33" borderId="0" xfId="0" applyFont="1" applyFill="1" applyAlignment="1">
      <alignment/>
    </xf>
    <xf numFmtId="0" fontId="7" fillId="33" borderId="10" xfId="0" applyFont="1" applyFill="1" applyBorder="1" applyAlignment="1">
      <alignment horizontal="center" vertical="center"/>
    </xf>
    <xf numFmtId="0" fontId="4" fillId="33" borderId="10" xfId="0" applyFont="1" applyFill="1" applyBorder="1" applyAlignment="1">
      <alignment vertical="center"/>
    </xf>
    <xf numFmtId="4" fontId="4" fillId="33" borderId="10" xfId="0" applyNumberFormat="1" applyFont="1" applyFill="1" applyBorder="1" applyAlignment="1">
      <alignment horizontal="center" vertical="center"/>
    </xf>
    <xf numFmtId="0" fontId="4" fillId="33" borderId="10" xfId="0" applyFont="1" applyFill="1" applyBorder="1" applyAlignment="1">
      <alignment horizontal="left" vertical="center"/>
    </xf>
    <xf numFmtId="0" fontId="4" fillId="33" borderId="10" xfId="0" applyFont="1" applyFill="1" applyBorder="1" applyAlignment="1">
      <alignment horizontal="left" vertical="center" wrapText="1"/>
    </xf>
    <xf numFmtId="0" fontId="7" fillId="33" borderId="13" xfId="0" applyFont="1" applyFill="1" applyBorder="1" applyAlignment="1">
      <alignment horizontal="center" vertical="center"/>
    </xf>
    <xf numFmtId="0" fontId="8" fillId="33" borderId="13" xfId="0" applyFont="1" applyFill="1" applyBorder="1" applyAlignment="1">
      <alignment horizontal="justify" vertical="center" wrapText="1"/>
    </xf>
    <xf numFmtId="0" fontId="4" fillId="33" borderId="13" xfId="0" applyFont="1" applyFill="1" applyBorder="1" applyAlignment="1">
      <alignment horizontal="center" vertical="center"/>
    </xf>
    <xf numFmtId="4" fontId="8" fillId="33" borderId="13" xfId="0" applyNumberFormat="1" applyFont="1" applyFill="1" applyBorder="1" applyAlignment="1">
      <alignment horizontal="center" vertical="center"/>
    </xf>
    <xf numFmtId="3" fontId="7" fillId="33" borderId="13" xfId="0" applyNumberFormat="1" applyFont="1" applyFill="1" applyBorder="1" applyAlignment="1">
      <alignment vertical="center"/>
    </xf>
    <xf numFmtId="0" fontId="5" fillId="33" borderId="10" xfId="0" applyFont="1" applyFill="1" applyBorder="1" applyAlignment="1">
      <alignment horizontal="justify" vertical="center" wrapText="1"/>
    </xf>
    <xf numFmtId="0" fontId="4" fillId="33" borderId="10" xfId="0" applyFont="1" applyFill="1" applyBorder="1" applyAlignment="1">
      <alignment horizontal="center" vertical="center"/>
    </xf>
    <xf numFmtId="0" fontId="4" fillId="33" borderId="10" xfId="0" applyFont="1" applyFill="1" applyBorder="1" applyAlignment="1">
      <alignment vertical="center" wrapText="1"/>
    </xf>
    <xf numFmtId="3" fontId="4" fillId="33" borderId="16" xfId="0" applyNumberFormat="1" applyFont="1" applyFill="1" applyBorder="1" applyAlignment="1">
      <alignment vertical="center"/>
    </xf>
    <xf numFmtId="4" fontId="4" fillId="33" borderId="11" xfId="0" applyNumberFormat="1" applyFont="1" applyFill="1" applyBorder="1" applyAlignment="1">
      <alignment horizontal="center" vertical="center"/>
    </xf>
    <xf numFmtId="0" fontId="8" fillId="33" borderId="10" xfId="0" applyFont="1" applyFill="1" applyBorder="1" applyAlignment="1">
      <alignment horizontal="center" vertical="center"/>
    </xf>
    <xf numFmtId="0" fontId="8" fillId="33" borderId="13" xfId="0" applyFont="1" applyFill="1" applyBorder="1" applyAlignment="1">
      <alignment horizontal="center" vertical="center"/>
    </xf>
    <xf numFmtId="0" fontId="4" fillId="33" borderId="15" xfId="0" applyFont="1" applyFill="1" applyBorder="1" applyAlignment="1">
      <alignment horizontal="center" vertical="center"/>
    </xf>
    <xf numFmtId="0" fontId="5" fillId="33" borderId="12" xfId="0" applyFont="1" applyFill="1" applyBorder="1" applyAlignment="1">
      <alignment horizontal="left" vertical="center" wrapText="1"/>
    </xf>
    <xf numFmtId="0" fontId="8" fillId="33" borderId="10" xfId="0" applyFont="1" applyFill="1" applyBorder="1" applyAlignment="1">
      <alignment/>
    </xf>
    <xf numFmtId="0" fontId="4" fillId="33" borderId="16" xfId="0" applyFont="1" applyFill="1" applyBorder="1" applyAlignment="1">
      <alignment horizontal="center" vertical="center"/>
    </xf>
    <xf numFmtId="4" fontId="4" fillId="33" borderId="16" xfId="0" applyNumberFormat="1" applyFont="1" applyFill="1" applyBorder="1" applyAlignment="1">
      <alignment horizontal="center" vertical="center"/>
    </xf>
    <xf numFmtId="4" fontId="4" fillId="33" borderId="15" xfId="0" applyNumberFormat="1" applyFont="1" applyFill="1" applyBorder="1" applyAlignment="1">
      <alignment horizontal="center" vertical="center"/>
    </xf>
    <xf numFmtId="2" fontId="4" fillId="33" borderId="10" xfId="0" applyNumberFormat="1" applyFont="1" applyFill="1" applyBorder="1" applyAlignment="1">
      <alignment horizontal="center" vertical="center"/>
    </xf>
    <xf numFmtId="0" fontId="4"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0" xfId="0" applyFont="1" applyFill="1" applyAlignment="1">
      <alignment horizontal="center" vertical="center"/>
    </xf>
    <xf numFmtId="0" fontId="5" fillId="33" borderId="0" xfId="0" applyFont="1" applyFill="1" applyAlignment="1">
      <alignment horizontal="center"/>
    </xf>
    <xf numFmtId="0" fontId="7" fillId="33" borderId="14" xfId="0" applyFont="1" applyFill="1" applyBorder="1" applyAlignment="1">
      <alignment horizontal="center" vertical="center"/>
    </xf>
    <xf numFmtId="0" fontId="4" fillId="33" borderId="14" xfId="0" applyFont="1" applyFill="1" applyBorder="1" applyAlignment="1">
      <alignment vertical="center" wrapText="1"/>
    </xf>
    <xf numFmtId="0" fontId="4" fillId="33" borderId="14" xfId="0" applyFont="1" applyFill="1" applyBorder="1" applyAlignment="1">
      <alignment horizontal="justify" vertical="center" wrapText="1"/>
    </xf>
    <xf numFmtId="4" fontId="4" fillId="33" borderId="14" xfId="0" applyNumberFormat="1" applyFont="1" applyFill="1" applyBorder="1" applyAlignment="1">
      <alignment horizontal="center" vertical="center"/>
    </xf>
    <xf numFmtId="0" fontId="4" fillId="33" borderId="14" xfId="0" applyFont="1" applyFill="1" applyBorder="1" applyAlignment="1">
      <alignment vertical="center"/>
    </xf>
    <xf numFmtId="3" fontId="5" fillId="33" borderId="13" xfId="0" applyNumberFormat="1" applyFont="1" applyFill="1" applyBorder="1" applyAlignment="1">
      <alignment horizontal="center" vertical="center" wrapText="1"/>
    </xf>
    <xf numFmtId="0" fontId="12" fillId="33" borderId="10" xfId="0" applyFont="1" applyFill="1" applyBorder="1" applyAlignment="1" quotePrefix="1">
      <alignment horizontal="left" vertical="center" wrapText="1"/>
    </xf>
    <xf numFmtId="3" fontId="7" fillId="33" borderId="13" xfId="0" applyNumberFormat="1" applyFont="1" applyFill="1" applyBorder="1" applyAlignment="1">
      <alignment horizontal="right" vertical="center"/>
    </xf>
    <xf numFmtId="0" fontId="12" fillId="33" borderId="11" xfId="0" applyFont="1" applyFill="1" applyBorder="1" applyAlignment="1" quotePrefix="1">
      <alignment horizontal="left" vertical="center" wrapText="1"/>
    </xf>
    <xf numFmtId="0" fontId="14" fillId="33" borderId="13" xfId="0" applyFont="1" applyFill="1" applyBorder="1" applyAlignment="1">
      <alignment horizontal="left" vertical="center"/>
    </xf>
    <xf numFmtId="0" fontId="12" fillId="33" borderId="10" xfId="0" applyFont="1" applyFill="1" applyBorder="1" applyAlignment="1">
      <alignment horizontal="left" vertical="center"/>
    </xf>
    <xf numFmtId="0" fontId="5" fillId="33" borderId="11" xfId="0" applyFont="1" applyFill="1" applyBorder="1" applyAlignment="1">
      <alignment vertical="center" wrapText="1"/>
    </xf>
    <xf numFmtId="4" fontId="4" fillId="33" borderId="12" xfId="0" applyNumberFormat="1" applyFont="1" applyFill="1" applyBorder="1" applyAlignment="1">
      <alignment horizontal="center" vertical="center" wrapText="1"/>
    </xf>
    <xf numFmtId="0" fontId="4" fillId="33" borderId="0" xfId="0" applyFont="1" applyFill="1" applyAlignment="1">
      <alignment/>
    </xf>
    <xf numFmtId="4" fontId="4" fillId="33" borderId="11" xfId="0" applyNumberFormat="1" applyFont="1" applyFill="1" applyBorder="1" applyAlignment="1">
      <alignment horizontal="center" vertical="center" wrapText="1"/>
    </xf>
    <xf numFmtId="0" fontId="18" fillId="33" borderId="13" xfId="0" applyFont="1" applyFill="1" applyBorder="1" applyAlignment="1">
      <alignment horizontal="left" vertical="center"/>
    </xf>
    <xf numFmtId="0" fontId="15" fillId="33" borderId="11" xfId="0" applyFont="1" applyFill="1" applyBorder="1" applyAlignment="1" quotePrefix="1">
      <alignment horizontal="left" vertical="center" wrapText="1"/>
    </xf>
    <xf numFmtId="0" fontId="18" fillId="33" borderId="10" xfId="0" applyFont="1" applyFill="1" applyBorder="1" applyAlignment="1">
      <alignment/>
    </xf>
    <xf numFmtId="0" fontId="15" fillId="33" borderId="10" xfId="0" applyFont="1" applyFill="1" applyBorder="1" applyAlignment="1">
      <alignment horizontal="left" vertical="center"/>
    </xf>
    <xf numFmtId="0" fontId="15" fillId="33" borderId="10" xfId="0" applyFont="1" applyFill="1" applyBorder="1" applyAlignment="1" quotePrefix="1">
      <alignment horizontal="left" vertical="center" wrapText="1"/>
    </xf>
    <xf numFmtId="0" fontId="2" fillId="33" borderId="0" xfId="0" applyFont="1" applyFill="1" applyAlignment="1">
      <alignment/>
    </xf>
    <xf numFmtId="0" fontId="2" fillId="33" borderId="0" xfId="0" applyFont="1" applyFill="1" applyAlignment="1">
      <alignment horizontal="justify" vertical="center" wrapText="1"/>
    </xf>
    <xf numFmtId="0" fontId="2" fillId="33" borderId="0" xfId="0" applyFont="1" applyFill="1" applyAlignment="1">
      <alignment horizontal="center"/>
    </xf>
    <xf numFmtId="4" fontId="2" fillId="33" borderId="0" xfId="0" applyNumberFormat="1" applyFont="1" applyFill="1" applyAlignment="1">
      <alignment horizontal="center" vertical="center"/>
    </xf>
    <xf numFmtId="0" fontId="15" fillId="33" borderId="0" xfId="0" applyFont="1" applyFill="1" applyAlignment="1">
      <alignment horizontal="left"/>
    </xf>
    <xf numFmtId="0" fontId="10" fillId="33" borderId="0" xfId="0" applyFont="1" applyFill="1" applyAlignment="1">
      <alignment/>
    </xf>
    <xf numFmtId="0" fontId="5" fillId="33" borderId="13" xfId="0" applyFont="1" applyFill="1" applyBorder="1" applyAlignment="1">
      <alignment horizontal="center" vertical="center" wrapText="1"/>
    </xf>
    <xf numFmtId="4" fontId="11" fillId="33" borderId="13" xfId="0" applyNumberFormat="1" applyFont="1" applyFill="1" applyBorder="1" applyAlignment="1">
      <alignment horizontal="center" vertical="center" wrapText="1"/>
    </xf>
    <xf numFmtId="0" fontId="15" fillId="33" borderId="12" xfId="0" applyFont="1" applyFill="1" applyBorder="1" applyAlignment="1">
      <alignment horizontal="left" vertical="center" wrapText="1"/>
    </xf>
    <xf numFmtId="0" fontId="4" fillId="33" borderId="0" xfId="0" applyFont="1" applyFill="1" applyAlignment="1">
      <alignment vertical="center"/>
    </xf>
    <xf numFmtId="0" fontId="4" fillId="33" borderId="11" xfId="0" applyFont="1" applyFill="1" applyBorder="1" applyAlignment="1">
      <alignment vertical="center"/>
    </xf>
    <xf numFmtId="3" fontId="4" fillId="33" borderId="16" xfId="0" applyNumberFormat="1" applyFont="1" applyFill="1" applyBorder="1" applyAlignment="1">
      <alignment horizontal="right" vertical="center"/>
    </xf>
    <xf numFmtId="0" fontId="15" fillId="33" borderId="10"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15" fillId="33" borderId="12" xfId="0" applyFont="1" applyFill="1" applyBorder="1" applyAlignment="1" quotePrefix="1">
      <alignment horizontal="left" vertical="center" wrapText="1"/>
    </xf>
    <xf numFmtId="2" fontId="5" fillId="33" borderId="10" xfId="0" applyNumberFormat="1" applyFont="1" applyFill="1" applyBorder="1" applyAlignment="1">
      <alignment horizontal="justify" vertical="center" wrapText="1"/>
    </xf>
    <xf numFmtId="0" fontId="15" fillId="33" borderId="16" xfId="0" applyFont="1" applyFill="1" applyBorder="1" applyAlignment="1">
      <alignment vertical="center" wrapText="1"/>
    </xf>
    <xf numFmtId="0" fontId="5" fillId="33" borderId="12" xfId="0" applyFont="1" applyFill="1" applyBorder="1" applyAlignment="1">
      <alignment horizontal="justify" vertical="center" wrapText="1"/>
    </xf>
    <xf numFmtId="0" fontId="4" fillId="33" borderId="16" xfId="0" applyFont="1" applyFill="1" applyBorder="1" applyAlignment="1">
      <alignment horizontal="left" vertical="center" wrapText="1"/>
    </xf>
    <xf numFmtId="0" fontId="5" fillId="33" borderId="17" xfId="0" applyFont="1" applyFill="1" applyBorder="1" applyAlignment="1">
      <alignment vertical="center" wrapText="1"/>
    </xf>
    <xf numFmtId="2" fontId="4" fillId="33" borderId="11" xfId="0" applyNumberFormat="1" applyFont="1" applyFill="1" applyBorder="1" applyAlignment="1">
      <alignment horizontal="center" vertical="center"/>
    </xf>
    <xf numFmtId="0" fontId="4" fillId="33" borderId="10" xfId="0" applyFont="1" applyFill="1" applyBorder="1" applyAlignment="1">
      <alignment/>
    </xf>
    <xf numFmtId="0" fontId="4" fillId="33" borderId="15" xfId="0" applyFont="1" applyFill="1" applyBorder="1" applyAlignment="1">
      <alignment vertical="center"/>
    </xf>
    <xf numFmtId="0" fontId="4" fillId="33" borderId="15" xfId="0" applyFont="1" applyFill="1" applyBorder="1" applyAlignment="1">
      <alignment horizontal="justify" vertical="center" wrapText="1"/>
    </xf>
    <xf numFmtId="3" fontId="4" fillId="33" borderId="15" xfId="0" applyNumberFormat="1" applyFont="1" applyFill="1" applyBorder="1" applyAlignment="1">
      <alignment horizontal="right" vertical="center"/>
    </xf>
    <xf numFmtId="0" fontId="5" fillId="33" borderId="11" xfId="0" applyFont="1" applyFill="1" applyBorder="1" applyAlignment="1">
      <alignment horizontal="justify" vertical="center" wrapText="1"/>
    </xf>
    <xf numFmtId="2" fontId="4" fillId="33" borderId="11" xfId="0" applyNumberFormat="1" applyFont="1" applyFill="1" applyBorder="1" applyAlignment="1">
      <alignment horizontal="justify" vertical="center" wrapText="1"/>
    </xf>
    <xf numFmtId="0" fontId="5" fillId="33" borderId="12" xfId="0" applyFont="1" applyFill="1" applyBorder="1" applyAlignment="1">
      <alignment vertical="center" wrapText="1"/>
    </xf>
    <xf numFmtId="4" fontId="4" fillId="33" borderId="10" xfId="0" applyNumberFormat="1" applyFont="1" applyFill="1" applyBorder="1" applyAlignment="1">
      <alignment horizontal="center" vertical="center" wrapText="1"/>
    </xf>
    <xf numFmtId="0" fontId="4" fillId="33" borderId="14" xfId="0" applyFont="1" applyFill="1" applyBorder="1" applyAlignment="1">
      <alignment horizontal="center" vertical="center"/>
    </xf>
    <xf numFmtId="4" fontId="4" fillId="33" borderId="18" xfId="0" applyNumberFormat="1" applyFont="1" applyFill="1" applyBorder="1" applyAlignment="1">
      <alignment horizontal="center" vertical="center"/>
    </xf>
    <xf numFmtId="3" fontId="4" fillId="33" borderId="18" xfId="0" applyNumberFormat="1" applyFont="1" applyFill="1" applyBorder="1" applyAlignment="1">
      <alignment vertical="center"/>
    </xf>
    <xf numFmtId="0" fontId="4" fillId="33" borderId="18" xfId="0" applyFont="1" applyFill="1" applyBorder="1" applyAlignment="1">
      <alignment horizontal="justify" vertical="center" wrapText="1"/>
    </xf>
    <xf numFmtId="0" fontId="4" fillId="33" borderId="0" xfId="0" applyFont="1" applyFill="1" applyAlignment="1">
      <alignment horizontal="justify" vertical="center" wrapText="1"/>
    </xf>
    <xf numFmtId="4" fontId="4" fillId="33" borderId="0" xfId="0" applyNumberFormat="1" applyFont="1" applyFill="1" applyAlignment="1">
      <alignment horizontal="center" vertical="center"/>
    </xf>
    <xf numFmtId="0" fontId="4" fillId="33" borderId="0" xfId="0" applyFont="1" applyFill="1" applyAlignment="1">
      <alignment horizontal="center"/>
    </xf>
    <xf numFmtId="0" fontId="4" fillId="33" borderId="11" xfId="0" applyFont="1" applyFill="1" applyBorder="1" applyAlignment="1">
      <alignment horizontal="left" vertical="center" wrapText="1"/>
    </xf>
    <xf numFmtId="0" fontId="12" fillId="33" borderId="10" xfId="0" applyFont="1" applyFill="1" applyBorder="1" applyAlignment="1">
      <alignment vertical="center" wrapText="1"/>
    </xf>
    <xf numFmtId="0" fontId="8" fillId="33" borderId="12" xfId="0" applyFont="1" applyFill="1" applyBorder="1" applyAlignment="1">
      <alignment horizontal="center" vertical="center"/>
    </xf>
    <xf numFmtId="4" fontId="8" fillId="33" borderId="12" xfId="0" applyNumberFormat="1" applyFont="1" applyFill="1" applyBorder="1" applyAlignment="1">
      <alignment horizontal="center" vertical="center"/>
    </xf>
    <xf numFmtId="3" fontId="8" fillId="33" borderId="12" xfId="0" applyNumberFormat="1" applyFont="1" applyFill="1" applyBorder="1" applyAlignment="1">
      <alignment vertical="center"/>
    </xf>
    <xf numFmtId="3" fontId="7" fillId="33" borderId="12" xfId="0" applyNumberFormat="1" applyFont="1" applyFill="1" applyBorder="1" applyAlignment="1">
      <alignment horizontal="right" vertical="center"/>
    </xf>
    <xf numFmtId="0" fontId="5" fillId="33" borderId="14" xfId="0" applyFont="1" applyFill="1" applyBorder="1" applyAlignment="1">
      <alignment vertical="center"/>
    </xf>
    <xf numFmtId="4" fontId="4" fillId="33" borderId="18" xfId="0" applyNumberFormat="1" applyFont="1" applyFill="1" applyBorder="1" applyAlignment="1">
      <alignment horizontal="center" vertical="center" wrapText="1"/>
    </xf>
    <xf numFmtId="3" fontId="4" fillId="33" borderId="18" xfId="0" applyNumberFormat="1" applyFont="1" applyFill="1" applyBorder="1" applyAlignment="1">
      <alignment horizontal="right" vertical="center"/>
    </xf>
    <xf numFmtId="4" fontId="4" fillId="33" borderId="14" xfId="0" applyNumberFormat="1" applyFont="1" applyFill="1" applyBorder="1" applyAlignment="1">
      <alignment horizontal="center" vertical="center" wrapText="1"/>
    </xf>
    <xf numFmtId="3" fontId="4" fillId="33" borderId="14" xfId="0" applyNumberFormat="1" applyFont="1" applyFill="1" applyBorder="1" applyAlignment="1">
      <alignment horizontal="right" vertical="center"/>
    </xf>
    <xf numFmtId="0" fontId="5" fillId="33" borderId="16" xfId="0" applyFont="1" applyFill="1" applyBorder="1" applyAlignment="1">
      <alignment horizontal="left" vertical="center" wrapText="1"/>
    </xf>
    <xf numFmtId="0" fontId="5" fillId="33" borderId="14" xfId="0" applyFont="1" applyFill="1" applyBorder="1" applyAlignment="1">
      <alignment vertical="center" wrapText="1"/>
    </xf>
    <xf numFmtId="0" fontId="4" fillId="33" borderId="19" xfId="0" applyFont="1" applyFill="1" applyBorder="1" applyAlignment="1">
      <alignment vertical="center"/>
    </xf>
    <xf numFmtId="0" fontId="4" fillId="33" borderId="16" xfId="0" applyFont="1" applyFill="1" applyBorder="1" applyAlignment="1">
      <alignment horizontal="justify" vertical="center" wrapText="1"/>
    </xf>
    <xf numFmtId="0" fontId="4" fillId="33" borderId="16" xfId="0" applyFont="1" applyFill="1" applyBorder="1" applyAlignment="1">
      <alignment vertical="center"/>
    </xf>
    <xf numFmtId="2" fontId="4" fillId="33" borderId="16" xfId="0" applyNumberFormat="1" applyFont="1" applyFill="1" applyBorder="1" applyAlignment="1">
      <alignment horizontal="center" vertical="center"/>
    </xf>
    <xf numFmtId="0" fontId="15" fillId="33" borderId="16" xfId="0" applyFont="1" applyFill="1" applyBorder="1" applyAlignment="1" quotePrefix="1">
      <alignment horizontal="left" vertical="center" wrapText="1"/>
    </xf>
    <xf numFmtId="0" fontId="5" fillId="33" borderId="18" xfId="0" applyFont="1" applyFill="1" applyBorder="1" applyAlignment="1">
      <alignment horizontal="center" vertical="center"/>
    </xf>
    <xf numFmtId="0" fontId="5" fillId="33" borderId="18" xfId="0" applyFont="1" applyFill="1" applyBorder="1" applyAlignment="1">
      <alignment horizontal="left" vertical="center"/>
    </xf>
    <xf numFmtId="0" fontId="7" fillId="33" borderId="18" xfId="0" applyFont="1" applyFill="1" applyBorder="1" applyAlignment="1">
      <alignment horizontal="center" vertical="center"/>
    </xf>
    <xf numFmtId="0" fontId="8" fillId="33" borderId="18" xfId="0" applyFont="1" applyFill="1" applyBorder="1" applyAlignment="1">
      <alignment horizontal="justify" vertical="center" wrapText="1"/>
    </xf>
    <xf numFmtId="0" fontId="4" fillId="33" borderId="18" xfId="0" applyFont="1" applyFill="1" applyBorder="1" applyAlignment="1">
      <alignment horizontal="center" vertical="center"/>
    </xf>
    <xf numFmtId="4" fontId="8" fillId="33" borderId="18" xfId="0" applyNumberFormat="1" applyFont="1" applyFill="1" applyBorder="1" applyAlignment="1">
      <alignment horizontal="center" vertical="center"/>
    </xf>
    <xf numFmtId="3" fontId="8" fillId="33" borderId="18" xfId="0" applyNumberFormat="1" applyFont="1" applyFill="1" applyBorder="1" applyAlignment="1">
      <alignment vertical="center"/>
    </xf>
    <xf numFmtId="3" fontId="7" fillId="33" borderId="18" xfId="0" applyNumberFormat="1" applyFont="1" applyFill="1" applyBorder="1" applyAlignment="1">
      <alignment vertical="center"/>
    </xf>
    <xf numFmtId="0" fontId="18" fillId="33" borderId="18" xfId="0" applyFont="1" applyFill="1" applyBorder="1" applyAlignment="1">
      <alignment horizontal="left" vertical="center"/>
    </xf>
    <xf numFmtId="0" fontId="5" fillId="33" borderId="10" xfId="0" applyFont="1" applyFill="1" applyBorder="1" applyAlignment="1">
      <alignment vertical="center"/>
    </xf>
    <xf numFmtId="0" fontId="5" fillId="33" borderId="10" xfId="0" applyFont="1" applyFill="1" applyBorder="1" applyAlignment="1">
      <alignment vertical="center" wrapText="1"/>
    </xf>
    <xf numFmtId="0" fontId="15" fillId="33" borderId="18" xfId="0" applyFont="1" applyFill="1" applyBorder="1" applyAlignment="1" quotePrefix="1">
      <alignment vertical="center" wrapText="1"/>
    </xf>
    <xf numFmtId="2" fontId="5" fillId="33" borderId="20" xfId="0" applyNumberFormat="1" applyFont="1" applyFill="1" applyBorder="1" applyAlignment="1">
      <alignment horizontal="justify" vertical="center" wrapText="1"/>
    </xf>
    <xf numFmtId="2" fontId="8" fillId="33" borderId="20" xfId="0" applyNumberFormat="1" applyFont="1" applyFill="1" applyBorder="1" applyAlignment="1">
      <alignment horizontal="center" vertical="center"/>
    </xf>
    <xf numFmtId="2" fontId="4" fillId="33" borderId="20" xfId="0" applyNumberFormat="1" applyFont="1" applyFill="1" applyBorder="1" applyAlignment="1">
      <alignment horizontal="center" vertical="center"/>
    </xf>
    <xf numFmtId="2" fontId="4" fillId="33" borderId="20" xfId="0" applyNumberFormat="1" applyFont="1" applyFill="1" applyBorder="1" applyAlignment="1">
      <alignment vertical="center"/>
    </xf>
    <xf numFmtId="2" fontId="15" fillId="33" borderId="20" xfId="0" applyNumberFormat="1" applyFont="1" applyFill="1" applyBorder="1" applyAlignment="1" quotePrefix="1">
      <alignment vertical="center" wrapText="1"/>
    </xf>
    <xf numFmtId="0" fontId="15" fillId="33" borderId="21" xfId="0" applyFont="1" applyFill="1" applyBorder="1" applyAlignment="1" quotePrefix="1">
      <alignment vertical="center" wrapText="1"/>
    </xf>
    <xf numFmtId="0" fontId="5" fillId="33" borderId="20" xfId="0" applyFont="1" applyFill="1" applyBorder="1" applyAlignment="1">
      <alignment horizontal="justify" vertical="center" wrapText="1"/>
    </xf>
    <xf numFmtId="0" fontId="8" fillId="33" borderId="20" xfId="0" applyFont="1" applyFill="1" applyBorder="1" applyAlignment="1">
      <alignment horizontal="center" vertical="center"/>
    </xf>
    <xf numFmtId="4" fontId="4" fillId="33" borderId="20" xfId="0" applyNumberFormat="1" applyFont="1" applyFill="1" applyBorder="1" applyAlignment="1">
      <alignment horizontal="center" vertical="center"/>
    </xf>
    <xf numFmtId="3" fontId="4" fillId="33" borderId="20" xfId="0" applyNumberFormat="1" applyFont="1" applyFill="1" applyBorder="1" applyAlignment="1">
      <alignment vertical="center"/>
    </xf>
    <xf numFmtId="0" fontId="15" fillId="33" borderId="20" xfId="0" applyFont="1" applyFill="1" applyBorder="1" applyAlignment="1" quotePrefix="1">
      <alignment vertical="center" wrapText="1"/>
    </xf>
    <xf numFmtId="0" fontId="5" fillId="33" borderId="13" xfId="0" applyFont="1" applyFill="1" applyBorder="1" applyAlignment="1">
      <alignment vertical="center"/>
    </xf>
    <xf numFmtId="0" fontId="10" fillId="0" borderId="13" xfId="0" applyFont="1" applyBorder="1" applyAlignment="1">
      <alignment wrapText="1"/>
    </xf>
    <xf numFmtId="0" fontId="4" fillId="33" borderId="13" xfId="0" applyFont="1" applyFill="1" applyBorder="1" applyAlignment="1">
      <alignment horizontal="center" vertical="center" wrapText="1"/>
    </xf>
    <xf numFmtId="4" fontId="21" fillId="33" borderId="13" xfId="0" applyNumberFormat="1" applyFont="1" applyFill="1" applyBorder="1" applyAlignment="1">
      <alignment horizontal="center" vertical="center" wrapText="1"/>
    </xf>
    <xf numFmtId="3" fontId="4" fillId="33" borderId="13" xfId="0" applyNumberFormat="1" applyFont="1" applyFill="1" applyBorder="1" applyAlignment="1">
      <alignment horizontal="center" vertical="center" wrapText="1"/>
    </xf>
    <xf numFmtId="0" fontId="5" fillId="33" borderId="22" xfId="0" applyFont="1" applyFill="1" applyBorder="1" applyAlignment="1">
      <alignment vertical="center"/>
    </xf>
    <xf numFmtId="0" fontId="4" fillId="33" borderId="23" xfId="0" applyFont="1" applyFill="1" applyBorder="1" applyAlignment="1">
      <alignment horizontal="justify" vertical="center" wrapText="1"/>
    </xf>
    <xf numFmtId="0" fontId="4" fillId="33" borderId="23" xfId="0" applyFont="1" applyFill="1" applyBorder="1" applyAlignment="1">
      <alignment horizontal="center" vertical="center"/>
    </xf>
    <xf numFmtId="4" fontId="4" fillId="33" borderId="23" xfId="0" applyNumberFormat="1" applyFont="1" applyFill="1" applyBorder="1" applyAlignment="1">
      <alignment horizontal="center" vertical="center"/>
    </xf>
    <xf numFmtId="3" fontId="4" fillId="33" borderId="23" xfId="0" applyNumberFormat="1" applyFont="1" applyFill="1" applyBorder="1" applyAlignment="1">
      <alignment vertical="center"/>
    </xf>
    <xf numFmtId="0" fontId="7" fillId="33" borderId="24" xfId="0" applyFont="1" applyFill="1" applyBorder="1" applyAlignment="1">
      <alignment horizontal="center" vertical="center"/>
    </xf>
    <xf numFmtId="0" fontId="7" fillId="33" borderId="25" xfId="0" applyFont="1" applyFill="1" applyBorder="1" applyAlignment="1">
      <alignment horizontal="center" vertical="center"/>
    </xf>
    <xf numFmtId="0" fontId="8" fillId="33" borderId="25" xfId="0" applyFont="1" applyFill="1" applyBorder="1" applyAlignment="1">
      <alignment horizontal="justify" vertical="center" wrapText="1"/>
    </xf>
    <xf numFmtId="0" fontId="8" fillId="33" borderId="25" xfId="0" applyFont="1" applyFill="1" applyBorder="1" applyAlignment="1">
      <alignment horizontal="center" vertical="center"/>
    </xf>
    <xf numFmtId="4" fontId="8" fillId="33" borderId="25" xfId="0" applyNumberFormat="1" applyFont="1" applyFill="1" applyBorder="1" applyAlignment="1">
      <alignment horizontal="center" vertical="center"/>
    </xf>
    <xf numFmtId="3" fontId="8" fillId="33" borderId="25" xfId="0" applyNumberFormat="1" applyFont="1" applyFill="1" applyBorder="1" applyAlignment="1">
      <alignment vertical="center"/>
    </xf>
    <xf numFmtId="3" fontId="7" fillId="33" borderId="26" xfId="0" applyNumberFormat="1" applyFont="1" applyFill="1" applyBorder="1" applyAlignment="1">
      <alignment vertical="center"/>
    </xf>
    <xf numFmtId="0" fontId="18" fillId="33" borderId="22" xfId="0" applyFont="1" applyFill="1" applyBorder="1" applyAlignment="1">
      <alignment horizontal="left" vertical="center"/>
    </xf>
    <xf numFmtId="0" fontId="16" fillId="33" borderId="13" xfId="0" applyFont="1" applyFill="1" applyBorder="1" applyAlignment="1">
      <alignment horizontal="center" vertical="center"/>
    </xf>
    <xf numFmtId="0" fontId="15" fillId="33" borderId="18" xfId="0" applyFont="1" applyFill="1" applyBorder="1" applyAlignment="1" quotePrefix="1">
      <alignment horizontal="left" vertical="center" wrapText="1"/>
    </xf>
    <xf numFmtId="0" fontId="15" fillId="33" borderId="14" xfId="0" applyFont="1" applyFill="1" applyBorder="1" applyAlignment="1" quotePrefix="1">
      <alignment horizontal="left" vertical="center" wrapText="1"/>
    </xf>
    <xf numFmtId="0" fontId="15" fillId="33" borderId="16" xfId="0" applyFont="1" applyFill="1" applyBorder="1" applyAlignment="1">
      <alignment horizontal="left" vertical="center" wrapText="1"/>
    </xf>
    <xf numFmtId="0" fontId="15" fillId="33" borderId="18" xfId="0" applyFont="1" applyFill="1" applyBorder="1" applyAlignment="1">
      <alignment horizontal="left" vertical="center" wrapText="1"/>
    </xf>
    <xf numFmtId="0" fontId="15" fillId="33" borderId="14" xfId="0" applyFont="1" applyFill="1" applyBorder="1" applyAlignment="1">
      <alignment horizontal="left" vertical="center" wrapText="1"/>
    </xf>
    <xf numFmtId="0" fontId="5" fillId="33" borderId="24" xfId="0" applyFont="1" applyFill="1" applyBorder="1" applyAlignment="1">
      <alignment vertical="center"/>
    </xf>
    <xf numFmtId="0" fontId="5" fillId="33" borderId="25" xfId="0" applyFont="1" applyFill="1" applyBorder="1" applyAlignment="1">
      <alignment vertical="center"/>
    </xf>
    <xf numFmtId="0" fontId="5" fillId="33" borderId="27" xfId="0" applyFont="1" applyFill="1" applyBorder="1" applyAlignment="1">
      <alignment vertical="center"/>
    </xf>
    <xf numFmtId="0" fontId="15" fillId="33" borderId="11" xfId="0" applyFont="1" applyFill="1" applyBorder="1" applyAlignment="1">
      <alignment horizontal="left" vertical="center" wrapText="1"/>
    </xf>
    <xf numFmtId="2" fontId="5" fillId="33" borderId="21" xfId="0" applyNumberFormat="1" applyFont="1" applyFill="1" applyBorder="1" applyAlignment="1">
      <alignment horizontal="center" vertical="center"/>
    </xf>
    <xf numFmtId="2" fontId="4" fillId="33" borderId="21" xfId="0" applyNumberFormat="1" applyFont="1" applyFill="1" applyBorder="1" applyAlignment="1">
      <alignment vertical="center"/>
    </xf>
    <xf numFmtId="2" fontId="4" fillId="33" borderId="21" xfId="0" applyNumberFormat="1" applyFont="1" applyFill="1" applyBorder="1" applyAlignment="1">
      <alignment horizontal="justify" vertical="center" wrapText="1"/>
    </xf>
    <xf numFmtId="2" fontId="4" fillId="33" borderId="21" xfId="0" applyNumberFormat="1" applyFont="1" applyFill="1" applyBorder="1" applyAlignment="1">
      <alignment horizontal="center" vertical="center"/>
    </xf>
    <xf numFmtId="2" fontId="4" fillId="33" borderId="21" xfId="0" applyNumberFormat="1" applyFont="1" applyFill="1" applyBorder="1" applyAlignment="1">
      <alignment horizontal="right" vertical="center"/>
    </xf>
    <xf numFmtId="0" fontId="15" fillId="33" borderId="14" xfId="0" applyFont="1" applyFill="1" applyBorder="1" applyAlignment="1">
      <alignment vertical="center" wrapText="1"/>
    </xf>
    <xf numFmtId="2" fontId="5" fillId="33" borderId="10" xfId="0" applyNumberFormat="1" applyFont="1" applyFill="1" applyBorder="1" applyAlignment="1">
      <alignment horizontal="center" vertical="center"/>
    </xf>
    <xf numFmtId="2" fontId="4" fillId="33" borderId="10" xfId="0" applyNumberFormat="1" applyFont="1" applyFill="1" applyBorder="1" applyAlignment="1">
      <alignment vertical="center"/>
    </xf>
    <xf numFmtId="2" fontId="4" fillId="33" borderId="10" xfId="0" applyNumberFormat="1" applyFont="1" applyFill="1" applyBorder="1" applyAlignment="1">
      <alignment horizontal="right" vertical="center"/>
    </xf>
    <xf numFmtId="0" fontId="15" fillId="33" borderId="10" xfId="0" applyFont="1" applyFill="1" applyBorder="1" applyAlignment="1">
      <alignment vertical="center" wrapText="1"/>
    </xf>
    <xf numFmtId="0" fontId="15" fillId="33" borderId="18" xfId="0" applyFont="1" applyFill="1" applyBorder="1" applyAlignment="1" quotePrefix="1">
      <alignment horizontal="left" vertical="center" wrapText="1"/>
    </xf>
    <xf numFmtId="0" fontId="15" fillId="33" borderId="14" xfId="0" applyFont="1" applyFill="1" applyBorder="1" applyAlignment="1" quotePrefix="1">
      <alignment horizontal="left" vertical="center" wrapText="1"/>
    </xf>
    <xf numFmtId="0" fontId="15" fillId="33" borderId="21" xfId="0" applyFont="1" applyFill="1" applyBorder="1" applyAlignment="1" quotePrefix="1">
      <alignment horizontal="left" vertical="center" wrapText="1"/>
    </xf>
    <xf numFmtId="0" fontId="15" fillId="33" borderId="11" xfId="0" applyFont="1" applyFill="1" applyBorder="1" applyAlignment="1">
      <alignment horizontal="left" vertical="center" wrapText="1"/>
    </xf>
    <xf numFmtId="0" fontId="5" fillId="33" borderId="24" xfId="0" applyFont="1" applyFill="1" applyBorder="1" applyAlignment="1">
      <alignment horizontal="left" vertical="center"/>
    </xf>
    <xf numFmtId="0" fontId="5" fillId="33" borderId="25" xfId="0" applyFont="1" applyFill="1" applyBorder="1" applyAlignment="1">
      <alignment horizontal="left" vertical="center"/>
    </xf>
    <xf numFmtId="0" fontId="5" fillId="33" borderId="27" xfId="0" applyFont="1" applyFill="1" applyBorder="1" applyAlignment="1">
      <alignment horizontal="left" vertical="center"/>
    </xf>
    <xf numFmtId="0" fontId="15" fillId="33" borderId="16" xfId="0" applyFont="1" applyFill="1" applyBorder="1" applyAlignment="1">
      <alignment horizontal="left" vertical="center" wrapText="1"/>
    </xf>
    <xf numFmtId="0" fontId="15" fillId="33" borderId="21" xfId="0" applyFont="1" applyFill="1" applyBorder="1" applyAlignment="1">
      <alignment horizontal="left" vertical="center"/>
    </xf>
    <xf numFmtId="0" fontId="15" fillId="33" borderId="18" xfId="0" applyFont="1" applyFill="1" applyBorder="1" applyAlignment="1">
      <alignment horizontal="left" vertical="center" wrapText="1"/>
    </xf>
    <xf numFmtId="0" fontId="15" fillId="33" borderId="14" xfId="0" applyFont="1" applyFill="1" applyBorder="1" applyAlignment="1">
      <alignment horizontal="left" vertical="center" wrapText="1"/>
    </xf>
    <xf numFmtId="0" fontId="15" fillId="33" borderId="21" xfId="0" applyFont="1" applyFill="1" applyBorder="1" applyAlignment="1">
      <alignment horizontal="left" vertical="center" wrapText="1"/>
    </xf>
    <xf numFmtId="0" fontId="7" fillId="33" borderId="13" xfId="0" applyFont="1" applyFill="1" applyBorder="1" applyAlignment="1">
      <alignment horizontal="left" vertical="center" wrapText="1"/>
    </xf>
    <xf numFmtId="0" fontId="15" fillId="33" borderId="18" xfId="0" applyFont="1" applyFill="1" applyBorder="1" applyAlignment="1">
      <alignment horizontal="center" vertical="center" wrapText="1"/>
    </xf>
    <xf numFmtId="0" fontId="15" fillId="33" borderId="14" xfId="0" applyFont="1" applyFill="1" applyBorder="1" applyAlignment="1">
      <alignment horizontal="center" vertical="center" wrapText="1"/>
    </xf>
    <xf numFmtId="0" fontId="15" fillId="33" borderId="21"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15" fillId="33" borderId="18" xfId="0" applyFont="1" applyFill="1" applyBorder="1" applyAlignment="1" quotePrefix="1">
      <alignment horizontal="center" vertical="center" wrapText="1"/>
    </xf>
    <xf numFmtId="0" fontId="15" fillId="33" borderId="14" xfId="0" applyFont="1" applyFill="1" applyBorder="1" applyAlignment="1" quotePrefix="1">
      <alignment horizontal="center" vertical="center" wrapText="1"/>
    </xf>
    <xf numFmtId="0" fontId="15" fillId="33" borderId="21" xfId="0" applyFont="1" applyFill="1" applyBorder="1" applyAlignment="1" quotePrefix="1">
      <alignment horizontal="center" vertical="center" wrapText="1"/>
    </xf>
    <xf numFmtId="0" fontId="9" fillId="33" borderId="0" xfId="0" applyFont="1" applyFill="1" applyAlignment="1">
      <alignment horizontal="center" vertical="center"/>
    </xf>
    <xf numFmtId="3" fontId="9" fillId="33" borderId="0" xfId="0" applyNumberFormat="1" applyFont="1" applyFill="1" applyAlignment="1">
      <alignment horizontal="center" vertical="center"/>
    </xf>
    <xf numFmtId="0" fontId="19" fillId="33" borderId="0" xfId="0" applyFont="1" applyFill="1" applyBorder="1" applyAlignment="1">
      <alignment horizontal="center" vertical="center"/>
    </xf>
    <xf numFmtId="3" fontId="19" fillId="33" borderId="0" xfId="0" applyNumberFormat="1" applyFont="1" applyFill="1" applyBorder="1" applyAlignment="1">
      <alignment horizontal="center" vertical="center"/>
    </xf>
    <xf numFmtId="0" fontId="20" fillId="33" borderId="0" xfId="0" applyFont="1" applyFill="1" applyBorder="1" applyAlignment="1">
      <alignment horizontal="center" vertical="center"/>
    </xf>
    <xf numFmtId="0" fontId="16" fillId="33" borderId="13" xfId="0" applyFont="1" applyFill="1" applyBorder="1" applyAlignment="1">
      <alignment horizontal="center" vertical="center"/>
    </xf>
    <xf numFmtId="0" fontId="5" fillId="33" borderId="24"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15" fillId="33" borderId="16" xfId="0" applyFont="1" applyFill="1" applyBorder="1" applyAlignment="1">
      <alignment horizontal="center" vertical="center" wrapText="1"/>
    </xf>
    <xf numFmtId="0" fontId="2" fillId="33" borderId="0" xfId="0" applyFont="1" applyFill="1" applyAlignment="1">
      <alignment horizontal="center" vertical="center"/>
    </xf>
    <xf numFmtId="0" fontId="3" fillId="33" borderId="0" xfId="0" applyFont="1" applyFill="1" applyAlignment="1">
      <alignment horizontal="center"/>
    </xf>
    <xf numFmtId="3" fontId="3" fillId="33" borderId="0" xfId="0" applyNumberFormat="1" applyFont="1" applyFill="1" applyAlignment="1">
      <alignment horizontal="center"/>
    </xf>
    <xf numFmtId="0" fontId="9" fillId="33" borderId="0" xfId="0" applyFont="1" applyFill="1" applyAlignment="1">
      <alignment horizontal="center"/>
    </xf>
    <xf numFmtId="3" fontId="9" fillId="33" borderId="0" xfId="0" applyNumberFormat="1" applyFont="1"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1819275</xdr:colOff>
      <xdr:row>2</xdr:row>
      <xdr:rowOff>28575</xdr:rowOff>
    </xdr:from>
    <xdr:to>
      <xdr:col>2</xdr:col>
      <xdr:colOff>704850</xdr:colOff>
      <xdr:row>2</xdr:row>
      <xdr:rowOff>28575</xdr:rowOff>
    </xdr:to>
    <xdr:sp>
      <xdr:nvSpPr>
        <xdr:cNvPr id="1" name="Straight Connector 1"/>
        <xdr:cNvSpPr>
          <a:spLocks/>
        </xdr:cNvSpPr>
      </xdr:nvSpPr>
      <xdr:spPr>
        <a:xfrm>
          <a:off x="2247900" y="428625"/>
          <a:ext cx="981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5</xdr:col>
      <xdr:colOff>1009650</xdr:colOff>
      <xdr:row>1</xdr:row>
      <xdr:rowOff>190500</xdr:rowOff>
    </xdr:from>
    <xdr:to>
      <xdr:col>7</xdr:col>
      <xdr:colOff>1009650</xdr:colOff>
      <xdr:row>1</xdr:row>
      <xdr:rowOff>190500</xdr:rowOff>
    </xdr:to>
    <xdr:sp>
      <xdr:nvSpPr>
        <xdr:cNvPr id="2" name="Straight Connector 2"/>
        <xdr:cNvSpPr>
          <a:spLocks/>
        </xdr:cNvSpPr>
      </xdr:nvSpPr>
      <xdr:spPr>
        <a:xfrm>
          <a:off x="7562850" y="381000"/>
          <a:ext cx="2486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31"/>
  <sheetViews>
    <sheetView tabSelected="1" zoomScalePageLayoutView="0" workbookViewId="0" topLeftCell="A516">
      <selection activeCell="H473" sqref="H473:H474"/>
    </sheetView>
  </sheetViews>
  <sheetFormatPr defaultColWidth="8.796875" defaultRowHeight="15"/>
  <cols>
    <col min="1" max="1" width="4.5" style="52" customWidth="1"/>
    <col min="2" max="2" width="22" style="66" customWidth="1"/>
    <col min="3" max="3" width="29.3984375" style="107" customWidth="1"/>
    <col min="4" max="4" width="5.69921875" style="109" customWidth="1"/>
    <col min="5" max="5" width="7.19921875" style="108" customWidth="1"/>
    <col min="6" max="6" width="11.3984375" style="11" customWidth="1"/>
    <col min="7" max="7" width="14.69921875" style="11" customWidth="1"/>
    <col min="8" max="8" width="36" style="77" customWidth="1"/>
    <col min="9" max="16384" width="9" style="66" customWidth="1"/>
  </cols>
  <sheetData>
    <row r="1" spans="1:8" s="73" customFormat="1" ht="15" customHeight="1">
      <c r="A1" s="220" t="s">
        <v>3</v>
      </c>
      <c r="B1" s="220"/>
      <c r="C1" s="220"/>
      <c r="D1" s="221" t="s">
        <v>0</v>
      </c>
      <c r="E1" s="221"/>
      <c r="F1" s="222"/>
      <c r="G1" s="221"/>
      <c r="H1" s="221"/>
    </row>
    <row r="2" spans="1:8" s="73" customFormat="1" ht="16.5" customHeight="1">
      <c r="A2" s="221" t="s">
        <v>8</v>
      </c>
      <c r="B2" s="221"/>
      <c r="C2" s="221"/>
      <c r="D2" s="223" t="s">
        <v>1</v>
      </c>
      <c r="E2" s="223"/>
      <c r="F2" s="224"/>
      <c r="G2" s="223"/>
      <c r="H2" s="223"/>
    </row>
    <row r="3" spans="1:8" s="73" customFormat="1" ht="16.5" customHeight="1">
      <c r="A3" s="221"/>
      <c r="B3" s="221"/>
      <c r="C3" s="74"/>
      <c r="D3" s="75"/>
      <c r="E3" s="76"/>
      <c r="F3" s="6"/>
      <c r="G3" s="6"/>
      <c r="H3" s="77"/>
    </row>
    <row r="4" spans="1:8" s="78" customFormat="1" ht="19.5" customHeight="1">
      <c r="A4" s="211" t="s">
        <v>5</v>
      </c>
      <c r="B4" s="211"/>
      <c r="C4" s="211"/>
      <c r="D4" s="211"/>
      <c r="E4" s="211"/>
      <c r="F4" s="212"/>
      <c r="G4" s="211"/>
      <c r="H4" s="211"/>
    </row>
    <row r="5" spans="1:8" s="78" customFormat="1" ht="19.5" customHeight="1">
      <c r="A5" s="211" t="s">
        <v>519</v>
      </c>
      <c r="B5" s="211"/>
      <c r="C5" s="211"/>
      <c r="D5" s="211"/>
      <c r="E5" s="211"/>
      <c r="F5" s="212"/>
      <c r="G5" s="211"/>
      <c r="H5" s="211"/>
    </row>
    <row r="6" spans="1:8" s="78" customFormat="1" ht="19.5" customHeight="1">
      <c r="A6" s="211" t="s">
        <v>9</v>
      </c>
      <c r="B6" s="211"/>
      <c r="C6" s="211"/>
      <c r="D6" s="211"/>
      <c r="E6" s="211"/>
      <c r="F6" s="212"/>
      <c r="G6" s="211"/>
      <c r="H6" s="211"/>
    </row>
    <row r="7" spans="1:8" ht="24" customHeight="1">
      <c r="A7" s="213" t="s">
        <v>598</v>
      </c>
      <c r="B7" s="213"/>
      <c r="C7" s="213"/>
      <c r="D7" s="213"/>
      <c r="E7" s="213"/>
      <c r="F7" s="214"/>
      <c r="G7" s="215"/>
      <c r="H7" s="213"/>
    </row>
    <row r="8" spans="1:8" s="51" customFormat="1" ht="42" customHeight="1">
      <c r="A8" s="46" t="s">
        <v>10</v>
      </c>
      <c r="B8" s="46" t="s">
        <v>11</v>
      </c>
      <c r="C8" s="79" t="s">
        <v>12</v>
      </c>
      <c r="D8" s="46" t="s">
        <v>2</v>
      </c>
      <c r="E8" s="80" t="s">
        <v>14</v>
      </c>
      <c r="F8" s="58" t="s">
        <v>13</v>
      </c>
      <c r="G8" s="58" t="s">
        <v>426</v>
      </c>
      <c r="H8" s="169" t="s">
        <v>15</v>
      </c>
    </row>
    <row r="9" spans="1:8" s="51" customFormat="1" ht="27" customHeight="1">
      <c r="A9" s="151" t="s">
        <v>532</v>
      </c>
      <c r="B9" s="193" t="s">
        <v>533</v>
      </c>
      <c r="C9" s="194"/>
      <c r="D9" s="194"/>
      <c r="E9" s="195"/>
      <c r="F9" s="151"/>
      <c r="G9" s="151"/>
      <c r="H9" s="151"/>
    </row>
    <row r="10" spans="1:8" s="51" customFormat="1" ht="99.75" customHeight="1">
      <c r="A10" s="28">
        <v>1</v>
      </c>
      <c r="B10" s="152" t="s">
        <v>534</v>
      </c>
      <c r="C10" s="153"/>
      <c r="D10" s="28" t="s">
        <v>4</v>
      </c>
      <c r="E10" s="154">
        <v>0</v>
      </c>
      <c r="F10" s="155">
        <v>0</v>
      </c>
      <c r="G10" s="155">
        <v>0</v>
      </c>
      <c r="H10" s="216" t="s">
        <v>535</v>
      </c>
    </row>
    <row r="11" spans="1:8" s="51" customFormat="1" ht="63.75" customHeight="1">
      <c r="A11" s="28">
        <v>2</v>
      </c>
      <c r="B11" s="152" t="s">
        <v>536</v>
      </c>
      <c r="C11" s="153"/>
      <c r="D11" s="28" t="s">
        <v>4</v>
      </c>
      <c r="E11" s="154">
        <v>0</v>
      </c>
      <c r="F11" s="155">
        <v>0</v>
      </c>
      <c r="G11" s="155">
        <v>0</v>
      </c>
      <c r="H11" s="216"/>
    </row>
    <row r="12" spans="1:8" s="51" customFormat="1" ht="60.75" customHeight="1">
      <c r="A12" s="28">
        <v>3</v>
      </c>
      <c r="B12" s="152" t="s">
        <v>537</v>
      </c>
      <c r="C12" s="153"/>
      <c r="D12" s="28" t="s">
        <v>4</v>
      </c>
      <c r="E12" s="154">
        <v>0</v>
      </c>
      <c r="F12" s="155">
        <v>0</v>
      </c>
      <c r="G12" s="155">
        <v>0</v>
      </c>
      <c r="H12" s="216"/>
    </row>
    <row r="13" spans="1:8" s="51" customFormat="1" ht="48.75" customHeight="1">
      <c r="A13" s="51" t="s">
        <v>538</v>
      </c>
      <c r="B13" s="217" t="s">
        <v>596</v>
      </c>
      <c r="C13" s="218"/>
      <c r="D13" s="218"/>
      <c r="E13" s="218"/>
      <c r="F13" s="218"/>
      <c r="G13" s="176"/>
      <c r="H13" s="177"/>
    </row>
    <row r="14" spans="1:8" s="51" customFormat="1" ht="53.25" customHeight="1">
      <c r="A14" s="16">
        <v>1</v>
      </c>
      <c r="B14" s="17" t="s">
        <v>293</v>
      </c>
      <c r="C14" s="5" t="s">
        <v>521</v>
      </c>
      <c r="D14" s="45" t="s">
        <v>4</v>
      </c>
      <c r="E14" s="19">
        <f>4.1*5.1</f>
        <v>20.909999999999997</v>
      </c>
      <c r="F14" s="15">
        <v>0</v>
      </c>
      <c r="G14" s="15">
        <v>0</v>
      </c>
      <c r="H14" s="88" t="s">
        <v>523</v>
      </c>
    </row>
    <row r="15" spans="1:8" s="51" customFormat="1" ht="84.75" customHeight="1">
      <c r="A15" s="21"/>
      <c r="B15" s="25" t="s">
        <v>448</v>
      </c>
      <c r="C15" s="3" t="s">
        <v>41</v>
      </c>
      <c r="D15" s="18" t="s">
        <v>4</v>
      </c>
      <c r="E15" s="35">
        <f>4*2.7</f>
        <v>10.8</v>
      </c>
      <c r="F15" s="7">
        <v>0</v>
      </c>
      <c r="G15" s="8">
        <f>F15*E15</f>
        <v>0</v>
      </c>
      <c r="H15" s="69"/>
    </row>
    <row r="16" spans="1:8" s="51" customFormat="1" ht="27" customHeight="1">
      <c r="A16" s="26"/>
      <c r="B16" s="26" t="s">
        <v>6</v>
      </c>
      <c r="C16" s="27"/>
      <c r="D16" s="37"/>
      <c r="E16" s="29"/>
      <c r="F16" s="9"/>
      <c r="G16" s="30">
        <f>SUM(G14:G15)</f>
        <v>0</v>
      </c>
      <c r="H16" s="68"/>
    </row>
    <row r="17" spans="1:8" s="51" customFormat="1" ht="47.25">
      <c r="A17" s="16">
        <v>2</v>
      </c>
      <c r="B17" s="39" t="s">
        <v>409</v>
      </c>
      <c r="C17" s="5" t="s">
        <v>522</v>
      </c>
      <c r="D17" s="32" t="s">
        <v>4</v>
      </c>
      <c r="E17" s="104">
        <f>4.25*4</f>
        <v>17</v>
      </c>
      <c r="F17" s="10">
        <v>0</v>
      </c>
      <c r="G17" s="105">
        <v>0</v>
      </c>
      <c r="H17" s="88" t="s">
        <v>523</v>
      </c>
    </row>
    <row r="18" spans="1:8" s="51" customFormat="1" ht="47.25">
      <c r="A18" s="21"/>
      <c r="B18" s="25" t="s">
        <v>449</v>
      </c>
      <c r="C18" s="3" t="s">
        <v>41</v>
      </c>
      <c r="D18" s="32" t="s">
        <v>4</v>
      </c>
      <c r="E18" s="23">
        <f>(4*2.7)*2</f>
        <v>21.6</v>
      </c>
      <c r="F18" s="7">
        <v>0</v>
      </c>
      <c r="G18" s="7">
        <f>F18*E18</f>
        <v>0</v>
      </c>
      <c r="H18" s="69"/>
    </row>
    <row r="19" spans="1:8" s="51" customFormat="1" ht="27" customHeight="1">
      <c r="A19" s="26"/>
      <c r="B19" s="26" t="s">
        <v>6</v>
      </c>
      <c r="C19" s="27"/>
      <c r="D19" s="37"/>
      <c r="E19" s="29"/>
      <c r="F19" s="9"/>
      <c r="G19" s="30">
        <f>SUM(G17:G18)</f>
        <v>0</v>
      </c>
      <c r="H19" s="68"/>
    </row>
    <row r="20" spans="1:8" s="51" customFormat="1" ht="88.5" customHeight="1">
      <c r="A20" s="16">
        <v>3</v>
      </c>
      <c r="B20" s="17" t="s">
        <v>410</v>
      </c>
      <c r="C20" s="106" t="s">
        <v>524</v>
      </c>
      <c r="D20" s="41" t="s">
        <v>4</v>
      </c>
      <c r="E20" s="104">
        <f>4*4.6</f>
        <v>18.4</v>
      </c>
      <c r="F20" s="10">
        <v>0</v>
      </c>
      <c r="G20" s="105">
        <f>F20*E20</f>
        <v>0</v>
      </c>
      <c r="H20" s="139" t="s">
        <v>525</v>
      </c>
    </row>
    <row r="21" spans="1:8" s="51" customFormat="1" ht="54.75" customHeight="1">
      <c r="A21" s="21"/>
      <c r="B21" s="25" t="s">
        <v>411</v>
      </c>
      <c r="C21" s="140"/>
      <c r="D21" s="141"/>
      <c r="E21" s="142"/>
      <c r="F21" s="143"/>
      <c r="G21" s="143"/>
      <c r="H21" s="144"/>
    </row>
    <row r="22" spans="1:8" s="51" customFormat="1" ht="27" customHeight="1">
      <c r="A22" s="21"/>
      <c r="B22" s="22" t="s">
        <v>412</v>
      </c>
      <c r="C22" s="3"/>
      <c r="D22" s="18"/>
      <c r="E22" s="35"/>
      <c r="F22" s="8"/>
      <c r="G22" s="8"/>
      <c r="H22" s="145"/>
    </row>
    <row r="23" spans="1:8" s="51" customFormat="1" ht="27" customHeight="1">
      <c r="A23" s="26"/>
      <c r="B23" s="26" t="s">
        <v>6</v>
      </c>
      <c r="C23" s="27"/>
      <c r="D23" s="37"/>
      <c r="E23" s="29"/>
      <c r="F23" s="9"/>
      <c r="G23" s="30">
        <f>SUM(G20:G22)</f>
        <v>0</v>
      </c>
      <c r="H23" s="68"/>
    </row>
    <row r="24" spans="1:9" s="51" customFormat="1" ht="52.5" customHeight="1">
      <c r="A24" s="16">
        <v>4</v>
      </c>
      <c r="B24" s="17" t="s">
        <v>241</v>
      </c>
      <c r="C24" s="106" t="s">
        <v>526</v>
      </c>
      <c r="D24" s="32" t="s">
        <v>4</v>
      </c>
      <c r="E24" s="104">
        <f>4*4.7</f>
        <v>18.8</v>
      </c>
      <c r="F24" s="10">
        <v>0</v>
      </c>
      <c r="G24" s="105">
        <f>F24*E24</f>
        <v>0</v>
      </c>
      <c r="H24" s="88" t="s">
        <v>523</v>
      </c>
      <c r="I24" s="51">
        <v>29</v>
      </c>
    </row>
    <row r="25" spans="1:8" s="51" customFormat="1" ht="68.25" customHeight="1">
      <c r="A25" s="21"/>
      <c r="B25" s="25" t="s">
        <v>456</v>
      </c>
      <c r="C25" s="1" t="s">
        <v>41</v>
      </c>
      <c r="D25" s="32" t="s">
        <v>4</v>
      </c>
      <c r="E25" s="23">
        <f>(4*2.7)*2</f>
        <v>21.6</v>
      </c>
      <c r="F25" s="7">
        <v>0</v>
      </c>
      <c r="G25" s="7">
        <f>F25*E25</f>
        <v>0</v>
      </c>
      <c r="H25" s="69"/>
    </row>
    <row r="26" spans="1:8" s="51" customFormat="1" ht="27" customHeight="1">
      <c r="A26" s="26"/>
      <c r="B26" s="26" t="s">
        <v>6</v>
      </c>
      <c r="C26" s="27"/>
      <c r="D26" s="37"/>
      <c r="E26" s="29"/>
      <c r="F26" s="9"/>
      <c r="G26" s="30">
        <f>SUM(G24:G25)</f>
        <v>0</v>
      </c>
      <c r="H26" s="68"/>
    </row>
    <row r="27" spans="1:8" s="51" customFormat="1" ht="52.5" customHeight="1">
      <c r="A27" s="16">
        <v>5</v>
      </c>
      <c r="B27" s="17" t="s">
        <v>416</v>
      </c>
      <c r="C27" s="5" t="s">
        <v>528</v>
      </c>
      <c r="D27" s="32" t="s">
        <v>4</v>
      </c>
      <c r="E27" s="19">
        <f>7.9*3.37</f>
        <v>26.623</v>
      </c>
      <c r="F27" s="8">
        <v>0</v>
      </c>
      <c r="G27" s="105">
        <f>F27*E27</f>
        <v>0</v>
      </c>
      <c r="H27" s="88" t="s">
        <v>523</v>
      </c>
    </row>
    <row r="28" spans="1:8" s="51" customFormat="1" ht="38.25" customHeight="1">
      <c r="A28" s="21"/>
      <c r="B28" s="25" t="s">
        <v>417</v>
      </c>
      <c r="C28" s="1" t="s">
        <v>418</v>
      </c>
      <c r="D28" s="32" t="s">
        <v>4</v>
      </c>
      <c r="E28" s="23">
        <f>5.5*2</f>
        <v>11</v>
      </c>
      <c r="F28" s="7">
        <v>0</v>
      </c>
      <c r="G28" s="7">
        <f>F28*E28</f>
        <v>0</v>
      </c>
      <c r="H28" s="72"/>
    </row>
    <row r="29" spans="1:8" s="51" customFormat="1" ht="27" customHeight="1">
      <c r="A29" s="21"/>
      <c r="B29" s="22"/>
      <c r="C29" s="3" t="s">
        <v>408</v>
      </c>
      <c r="D29" s="32" t="s">
        <v>4</v>
      </c>
      <c r="E29" s="23">
        <f>2.4*2</f>
        <v>4.8</v>
      </c>
      <c r="F29" s="7">
        <v>0</v>
      </c>
      <c r="G29" s="7">
        <f>F29*E29</f>
        <v>0</v>
      </c>
      <c r="H29" s="69"/>
    </row>
    <row r="30" spans="1:8" s="51" customFormat="1" ht="27" customHeight="1">
      <c r="A30" s="21"/>
      <c r="B30" s="22"/>
      <c r="C30" s="1" t="s">
        <v>419</v>
      </c>
      <c r="D30" s="32" t="s">
        <v>209</v>
      </c>
      <c r="E30" s="23">
        <f>(0.3*0.3*2.2)*2</f>
        <v>0.396</v>
      </c>
      <c r="F30" s="7">
        <v>0</v>
      </c>
      <c r="G30" s="7">
        <f>F30*E30</f>
        <v>0</v>
      </c>
      <c r="H30" s="72"/>
    </row>
    <row r="31" spans="1:8" s="51" customFormat="1" ht="27" customHeight="1">
      <c r="A31" s="53"/>
      <c r="B31" s="57"/>
      <c r="C31" s="55" t="s">
        <v>420</v>
      </c>
      <c r="D31" s="32" t="s">
        <v>4</v>
      </c>
      <c r="E31" s="56">
        <f>(0.3*2.2)*4</f>
        <v>2.64</v>
      </c>
      <c r="F31" s="7">
        <v>0</v>
      </c>
      <c r="G31" s="10">
        <f>F31*E31</f>
        <v>0</v>
      </c>
      <c r="H31" s="72"/>
    </row>
    <row r="32" spans="1:8" s="51" customFormat="1" ht="27" customHeight="1">
      <c r="A32" s="26"/>
      <c r="B32" s="26" t="s">
        <v>6</v>
      </c>
      <c r="C32" s="27"/>
      <c r="D32" s="37"/>
      <c r="E32" s="29"/>
      <c r="F32" s="9"/>
      <c r="G32" s="30">
        <f>SUM(G27:G31)</f>
        <v>0</v>
      </c>
      <c r="H32" s="68"/>
    </row>
    <row r="33" spans="1:8" s="51" customFormat="1" ht="60" customHeight="1">
      <c r="A33" s="16">
        <v>6</v>
      </c>
      <c r="B33" s="17" t="s">
        <v>421</v>
      </c>
      <c r="C33" s="106" t="s">
        <v>527</v>
      </c>
      <c r="D33" s="41" t="s">
        <v>4</v>
      </c>
      <c r="E33" s="104">
        <f>6.9*4.35</f>
        <v>30.015</v>
      </c>
      <c r="F33" s="10">
        <v>0</v>
      </c>
      <c r="G33" s="105">
        <f>F33*E33</f>
        <v>0</v>
      </c>
      <c r="H33" s="139" t="s">
        <v>523</v>
      </c>
    </row>
    <row r="34" spans="1:8" s="51" customFormat="1" ht="58.5" customHeight="1">
      <c r="A34" s="21"/>
      <c r="B34" s="25" t="s">
        <v>422</v>
      </c>
      <c r="C34" s="146"/>
      <c r="D34" s="147"/>
      <c r="E34" s="148"/>
      <c r="F34" s="149"/>
      <c r="G34" s="149"/>
      <c r="H34" s="150"/>
    </row>
    <row r="35" spans="1:8" s="51" customFormat="1" ht="27" customHeight="1">
      <c r="A35" s="21"/>
      <c r="B35" s="22" t="s">
        <v>423</v>
      </c>
      <c r="C35" s="3"/>
      <c r="D35" s="18"/>
      <c r="E35" s="35"/>
      <c r="F35" s="8"/>
      <c r="G35" s="8"/>
      <c r="H35" s="145"/>
    </row>
    <row r="36" spans="1:8" s="51" customFormat="1" ht="27" customHeight="1">
      <c r="A36" s="26"/>
      <c r="B36" s="26" t="s">
        <v>6</v>
      </c>
      <c r="C36" s="27"/>
      <c r="D36" s="37"/>
      <c r="E36" s="29"/>
      <c r="F36" s="9"/>
      <c r="G36" s="30">
        <f>SUM(G33:G35)</f>
        <v>0</v>
      </c>
      <c r="H36" s="68"/>
    </row>
    <row r="37" spans="1:8" s="51" customFormat="1" ht="34.5" customHeight="1">
      <c r="A37" s="16">
        <v>7</v>
      </c>
      <c r="B37" s="17" t="s">
        <v>305</v>
      </c>
      <c r="C37" s="1" t="s">
        <v>306</v>
      </c>
      <c r="D37" s="18" t="s">
        <v>4</v>
      </c>
      <c r="E37" s="23">
        <f>8*1.5</f>
        <v>12</v>
      </c>
      <c r="F37" s="7">
        <v>0</v>
      </c>
      <c r="G37" s="7">
        <f>F37*E37</f>
        <v>0</v>
      </c>
      <c r="H37" s="202" t="s">
        <v>540</v>
      </c>
    </row>
    <row r="38" spans="1:8" s="51" customFormat="1" ht="66.75" customHeight="1">
      <c r="A38" s="21"/>
      <c r="B38" s="25" t="s">
        <v>607</v>
      </c>
      <c r="C38" s="1" t="s">
        <v>307</v>
      </c>
      <c r="D38" s="18" t="s">
        <v>4</v>
      </c>
      <c r="E38" s="23">
        <f>8*2</f>
        <v>16</v>
      </c>
      <c r="F38" s="7">
        <v>0</v>
      </c>
      <c r="G38" s="7">
        <f>F38*E38</f>
        <v>0</v>
      </c>
      <c r="H38" s="203"/>
    </row>
    <row r="39" spans="1:8" s="51" customFormat="1" ht="27" customHeight="1">
      <c r="A39" s="21"/>
      <c r="B39" s="22" t="s">
        <v>308</v>
      </c>
      <c r="C39" s="3" t="s">
        <v>428</v>
      </c>
      <c r="D39" s="18" t="s">
        <v>309</v>
      </c>
      <c r="E39" s="23">
        <v>4</v>
      </c>
      <c r="F39" s="7">
        <v>0</v>
      </c>
      <c r="G39" s="7">
        <f>F39*E39</f>
        <v>0</v>
      </c>
      <c r="H39" s="203"/>
    </row>
    <row r="40" spans="1:8" s="51" customFormat="1" ht="27" customHeight="1">
      <c r="A40" s="21"/>
      <c r="B40" s="22"/>
      <c r="C40" s="3" t="s">
        <v>429</v>
      </c>
      <c r="D40" s="18" t="s">
        <v>309</v>
      </c>
      <c r="E40" s="23">
        <v>15</v>
      </c>
      <c r="F40" s="8">
        <v>0</v>
      </c>
      <c r="G40" s="7">
        <f>F40*E40</f>
        <v>0</v>
      </c>
      <c r="H40" s="204"/>
    </row>
    <row r="41" spans="1:8" s="51" customFormat="1" ht="27" customHeight="1">
      <c r="A41" s="26"/>
      <c r="B41" s="26" t="s">
        <v>6</v>
      </c>
      <c r="C41" s="27"/>
      <c r="D41" s="28"/>
      <c r="E41" s="29"/>
      <c r="F41" s="9"/>
      <c r="G41" s="30">
        <f>SUM(G37:G40)</f>
        <v>0</v>
      </c>
      <c r="H41" s="68"/>
    </row>
    <row r="42" spans="1:8" s="51" customFormat="1" ht="27" customHeight="1">
      <c r="A42" s="16">
        <v>8</v>
      </c>
      <c r="B42" s="17" t="s">
        <v>310</v>
      </c>
      <c r="C42" s="1" t="s">
        <v>307</v>
      </c>
      <c r="D42" s="18" t="s">
        <v>4</v>
      </c>
      <c r="E42" s="23">
        <f>2*4</f>
        <v>8</v>
      </c>
      <c r="F42" s="7">
        <v>0</v>
      </c>
      <c r="G42" s="7">
        <f>F42*E42</f>
        <v>0</v>
      </c>
      <c r="H42" s="205" t="s">
        <v>540</v>
      </c>
    </row>
    <row r="43" spans="1:8" s="51" customFormat="1" ht="63">
      <c r="A43" s="21"/>
      <c r="B43" s="25" t="s">
        <v>351</v>
      </c>
      <c r="C43" s="1" t="s">
        <v>306</v>
      </c>
      <c r="D43" s="18" t="s">
        <v>4</v>
      </c>
      <c r="E43" s="23">
        <f>4*1.5</f>
        <v>6</v>
      </c>
      <c r="F43" s="7">
        <v>0</v>
      </c>
      <c r="G43" s="7">
        <f>F43*E43</f>
        <v>0</v>
      </c>
      <c r="H43" s="206"/>
    </row>
    <row r="44" spans="1:8" s="51" customFormat="1" ht="27" customHeight="1">
      <c r="A44" s="21"/>
      <c r="B44" s="22" t="s">
        <v>308</v>
      </c>
      <c r="C44" s="3" t="s">
        <v>429</v>
      </c>
      <c r="D44" s="18" t="s">
        <v>309</v>
      </c>
      <c r="E44" s="23">
        <v>3</v>
      </c>
      <c r="F44" s="7">
        <v>0</v>
      </c>
      <c r="G44" s="7">
        <f>F44*E44</f>
        <v>0</v>
      </c>
      <c r="H44" s="206"/>
    </row>
    <row r="45" spans="1:8" s="51" customFormat="1" ht="27" customHeight="1">
      <c r="A45" s="21"/>
      <c r="B45" s="22"/>
      <c r="C45" s="3" t="s">
        <v>428</v>
      </c>
      <c r="D45" s="18" t="s">
        <v>309</v>
      </c>
      <c r="E45" s="23">
        <v>1</v>
      </c>
      <c r="F45" s="8">
        <v>0</v>
      </c>
      <c r="G45" s="7">
        <f>F45*E45</f>
        <v>0</v>
      </c>
      <c r="H45" s="207"/>
    </row>
    <row r="46" spans="1:8" s="51" customFormat="1" ht="27" customHeight="1">
      <c r="A46" s="26"/>
      <c r="B46" s="26" t="s">
        <v>6</v>
      </c>
      <c r="C46" s="27"/>
      <c r="D46" s="28"/>
      <c r="E46" s="29"/>
      <c r="F46" s="9"/>
      <c r="G46" s="30">
        <f>SUM(G42:G45)</f>
        <v>0</v>
      </c>
      <c r="H46" s="68"/>
    </row>
    <row r="47" spans="1:8" s="51" customFormat="1" ht="31.5">
      <c r="A47" s="16">
        <v>9</v>
      </c>
      <c r="B47" s="39" t="s">
        <v>444</v>
      </c>
      <c r="C47" s="157" t="s">
        <v>323</v>
      </c>
      <c r="D47" s="158" t="s">
        <v>4</v>
      </c>
      <c r="E47" s="159">
        <f>1*4</f>
        <v>4</v>
      </c>
      <c r="F47" s="160">
        <v>0</v>
      </c>
      <c r="G47" s="160">
        <f>F47*E47</f>
        <v>0</v>
      </c>
      <c r="H47" s="205" t="s">
        <v>540</v>
      </c>
    </row>
    <row r="48" spans="1:8" s="51" customFormat="1" ht="63">
      <c r="A48" s="2"/>
      <c r="B48" s="25" t="s">
        <v>356</v>
      </c>
      <c r="C48" s="3" t="s">
        <v>431</v>
      </c>
      <c r="D48" s="18" t="s">
        <v>324</v>
      </c>
      <c r="E48" s="35">
        <v>1</v>
      </c>
      <c r="F48" s="8">
        <v>0</v>
      </c>
      <c r="G48" s="8">
        <f>F48*E48</f>
        <v>0</v>
      </c>
      <c r="H48" s="206"/>
    </row>
    <row r="49" spans="1:8" s="51" customFormat="1" ht="27" customHeight="1">
      <c r="A49" s="21"/>
      <c r="B49" s="22" t="s">
        <v>325</v>
      </c>
      <c r="C49" s="1" t="s">
        <v>430</v>
      </c>
      <c r="D49" s="18" t="s">
        <v>309</v>
      </c>
      <c r="E49" s="23">
        <v>2</v>
      </c>
      <c r="F49" s="7">
        <v>0</v>
      </c>
      <c r="G49" s="7">
        <f>F49*E49</f>
        <v>0</v>
      </c>
      <c r="H49" s="207"/>
    </row>
    <row r="50" spans="1:8" s="51" customFormat="1" ht="27" customHeight="1">
      <c r="A50" s="26"/>
      <c r="B50" s="26" t="s">
        <v>6</v>
      </c>
      <c r="C50" s="27"/>
      <c r="D50" s="28"/>
      <c r="E50" s="29"/>
      <c r="F50" s="9"/>
      <c r="G50" s="30">
        <f>SUM(G47:G49)</f>
        <v>0</v>
      </c>
      <c r="H50" s="68"/>
    </row>
    <row r="51" spans="1:8" s="51" customFormat="1" ht="27" customHeight="1">
      <c r="A51" s="16">
        <v>10</v>
      </c>
      <c r="B51" s="17" t="s">
        <v>285</v>
      </c>
      <c r="C51" s="5" t="s">
        <v>41</v>
      </c>
      <c r="D51" s="18" t="s">
        <v>4</v>
      </c>
      <c r="E51" s="19">
        <f>(4*2.7)*2</f>
        <v>21.6</v>
      </c>
      <c r="F51" s="160">
        <v>0</v>
      </c>
      <c r="G51" s="160">
        <f>F51*E51</f>
        <v>0</v>
      </c>
      <c r="H51" s="208" t="s">
        <v>540</v>
      </c>
    </row>
    <row r="52" spans="1:8" s="51" customFormat="1" ht="47.25">
      <c r="A52" s="21"/>
      <c r="B52" s="25" t="s">
        <v>286</v>
      </c>
      <c r="C52" s="31"/>
      <c r="D52" s="36"/>
      <c r="E52" s="23"/>
      <c r="F52" s="149"/>
      <c r="G52" s="149"/>
      <c r="H52" s="209"/>
    </row>
    <row r="53" spans="1:8" s="51" customFormat="1" ht="27" customHeight="1">
      <c r="A53" s="21"/>
      <c r="B53" s="22" t="s">
        <v>287</v>
      </c>
      <c r="C53" s="3"/>
      <c r="D53" s="18"/>
      <c r="E53" s="23"/>
      <c r="F53" s="8"/>
      <c r="G53" s="8"/>
      <c r="H53" s="210"/>
    </row>
    <row r="54" spans="1:8" s="51" customFormat="1" ht="27" customHeight="1">
      <c r="A54" s="26"/>
      <c r="B54" s="26" t="s">
        <v>6</v>
      </c>
      <c r="C54" s="27"/>
      <c r="D54" s="37"/>
      <c r="E54" s="29"/>
      <c r="F54" s="9"/>
      <c r="G54" s="30">
        <f>SUM(G51:G53)</f>
        <v>0</v>
      </c>
      <c r="H54" s="68"/>
    </row>
    <row r="55" spans="1:8" s="51" customFormat="1" ht="30" customHeight="1">
      <c r="A55" s="16">
        <v>11</v>
      </c>
      <c r="B55" s="17" t="s">
        <v>288</v>
      </c>
      <c r="C55" s="5" t="s">
        <v>41</v>
      </c>
      <c r="D55" s="18" t="s">
        <v>4</v>
      </c>
      <c r="E55" s="19">
        <f>(3.7*2.7)*2</f>
        <v>19.980000000000004</v>
      </c>
      <c r="F55" s="7">
        <v>0</v>
      </c>
      <c r="G55" s="15">
        <f>F55*E55</f>
        <v>0</v>
      </c>
      <c r="H55" s="208" t="s">
        <v>540</v>
      </c>
    </row>
    <row r="56" spans="1:8" s="51" customFormat="1" ht="49.5" customHeight="1">
      <c r="A56" s="21"/>
      <c r="B56" s="25" t="s">
        <v>289</v>
      </c>
      <c r="C56" s="31"/>
      <c r="D56" s="36"/>
      <c r="E56" s="23"/>
      <c r="F56" s="7"/>
      <c r="G56" s="7"/>
      <c r="H56" s="209"/>
    </row>
    <row r="57" spans="1:8" s="51" customFormat="1" ht="27" customHeight="1">
      <c r="A57" s="21"/>
      <c r="B57" s="22" t="s">
        <v>290</v>
      </c>
      <c r="C57" s="3"/>
      <c r="D57" s="18"/>
      <c r="E57" s="23"/>
      <c r="F57" s="7"/>
      <c r="G57" s="7"/>
      <c r="H57" s="209"/>
    </row>
    <row r="58" spans="1:8" s="51" customFormat="1" ht="27" customHeight="1">
      <c r="A58" s="26"/>
      <c r="B58" s="26" t="s">
        <v>6</v>
      </c>
      <c r="C58" s="27"/>
      <c r="D58" s="37"/>
      <c r="E58" s="29"/>
      <c r="F58" s="9"/>
      <c r="G58" s="30">
        <f>SUM(G55:G57)</f>
        <v>0</v>
      </c>
      <c r="H58" s="210"/>
    </row>
    <row r="59" spans="1:8" s="51" customFormat="1" ht="27" customHeight="1">
      <c r="A59" s="175" t="s">
        <v>539</v>
      </c>
      <c r="B59" s="193" t="s">
        <v>541</v>
      </c>
      <c r="C59" s="194"/>
      <c r="D59" s="194"/>
      <c r="E59" s="194"/>
      <c r="F59" s="194"/>
      <c r="G59" s="151"/>
      <c r="H59" s="177"/>
    </row>
    <row r="60" spans="1:8" s="51" customFormat="1" ht="27" customHeight="1">
      <c r="A60" s="151" t="s">
        <v>591</v>
      </c>
      <c r="B60" s="193" t="s">
        <v>597</v>
      </c>
      <c r="C60" s="194"/>
      <c r="D60" s="194"/>
      <c r="E60" s="194"/>
      <c r="F60" s="195"/>
      <c r="G60" s="151"/>
      <c r="H60" s="156"/>
    </row>
    <row r="61" spans="1:8" s="51" customFormat="1" ht="99.75" customHeight="1">
      <c r="A61" s="48">
        <v>1</v>
      </c>
      <c r="B61" s="116" t="s">
        <v>17</v>
      </c>
      <c r="C61" s="106" t="s">
        <v>18</v>
      </c>
      <c r="D61" s="103" t="s">
        <v>4</v>
      </c>
      <c r="E61" s="117">
        <f>2.65*4.07</f>
        <v>10.7855</v>
      </c>
      <c r="F61" s="118">
        <f>(3230000-(8%*3230000))*40%</f>
        <v>1188640</v>
      </c>
      <c r="G61" s="118">
        <f>F61*E61</f>
        <v>12820076.72</v>
      </c>
      <c r="H61" s="173" t="s">
        <v>542</v>
      </c>
    </row>
    <row r="62" spans="1:8" s="82" customFormat="1" ht="61.5" customHeight="1">
      <c r="A62" s="47"/>
      <c r="B62" s="33" t="s">
        <v>242</v>
      </c>
      <c r="C62" s="4" t="s">
        <v>509</v>
      </c>
      <c r="D62" s="44" t="s">
        <v>209</v>
      </c>
      <c r="E62" s="44">
        <f>(4.87*0.9*0.1)+(4.87*0.4*0.1)+((2.65*0.4*0.1)*2)</f>
        <v>0.8451</v>
      </c>
      <c r="F62" s="12">
        <f>7030000*40%</f>
        <v>2812000</v>
      </c>
      <c r="G62" s="12">
        <f>F62*E62</f>
        <v>2376421.1999999997</v>
      </c>
      <c r="H62" s="85" t="s">
        <v>543</v>
      </c>
    </row>
    <row r="63" spans="1:8" s="82" customFormat="1" ht="77.25" customHeight="1">
      <c r="A63" s="48"/>
      <c r="B63" s="57" t="s">
        <v>34</v>
      </c>
      <c r="C63" s="55" t="s">
        <v>19</v>
      </c>
      <c r="D63" s="103" t="s">
        <v>4</v>
      </c>
      <c r="E63" s="119">
        <f>2.65*4.07</f>
        <v>10.7855</v>
      </c>
      <c r="F63" s="120">
        <f>3230000*40%</f>
        <v>1292000</v>
      </c>
      <c r="G63" s="120">
        <f>F63*E63</f>
        <v>13934866.000000002</v>
      </c>
      <c r="H63" s="174" t="s">
        <v>544</v>
      </c>
    </row>
    <row r="64" spans="1:8" s="82" customFormat="1" ht="51" customHeight="1">
      <c r="A64" s="47"/>
      <c r="B64" s="22"/>
      <c r="C64" s="1" t="s">
        <v>509</v>
      </c>
      <c r="D64" s="44" t="s">
        <v>209</v>
      </c>
      <c r="E64" s="23">
        <f>(4.87*0.9*0.1)+(4.87*0.4*0.1)+((2.65*0.4*0.1)*2)</f>
        <v>0.8451</v>
      </c>
      <c r="F64" s="7">
        <f>7030000*40%</f>
        <v>2812000</v>
      </c>
      <c r="G64" s="12">
        <f>F64*E64</f>
        <v>2376421.1999999997</v>
      </c>
      <c r="H64" s="85" t="s">
        <v>543</v>
      </c>
    </row>
    <row r="65" spans="1:8" s="82" customFormat="1" ht="24" customHeight="1">
      <c r="A65" s="2"/>
      <c r="B65" s="83"/>
      <c r="C65" s="31" t="s">
        <v>35</v>
      </c>
      <c r="D65" s="18"/>
      <c r="E65" s="35"/>
      <c r="F65" s="8"/>
      <c r="G65" s="12"/>
      <c r="H65" s="178"/>
    </row>
    <row r="66" spans="1:8" s="82" customFormat="1" ht="123" customHeight="1">
      <c r="A66" s="2"/>
      <c r="B66" s="25"/>
      <c r="C66" s="3" t="s">
        <v>7</v>
      </c>
      <c r="D66" s="18" t="s">
        <v>4</v>
      </c>
      <c r="E66" s="35">
        <f>(7*1.7)+(3.7*1.2)+(1*1.7)</f>
        <v>18.04</v>
      </c>
      <c r="F66" s="8">
        <f>498000*40%</f>
        <v>199200</v>
      </c>
      <c r="G66" s="84">
        <f>F66*E66</f>
        <v>3593568</v>
      </c>
      <c r="H66" s="72" t="s">
        <v>608</v>
      </c>
    </row>
    <row r="67" spans="1:8" s="20" customFormat="1" ht="25.5" customHeight="1">
      <c r="A67" s="26"/>
      <c r="B67" s="26" t="s">
        <v>6</v>
      </c>
      <c r="C67" s="27"/>
      <c r="D67" s="37"/>
      <c r="E67" s="29"/>
      <c r="F67" s="9"/>
      <c r="G67" s="60">
        <f>SUM(G61:G66)</f>
        <v>35101353.120000005</v>
      </c>
      <c r="H67" s="68"/>
    </row>
    <row r="68" spans="1:8" ht="87.75" customHeight="1">
      <c r="A68" s="48">
        <v>2</v>
      </c>
      <c r="B68" s="116" t="s">
        <v>20</v>
      </c>
      <c r="C68" s="106" t="s">
        <v>22</v>
      </c>
      <c r="D68" s="103" t="s">
        <v>4</v>
      </c>
      <c r="E68" s="117">
        <f>2.65*4.07</f>
        <v>10.7855</v>
      </c>
      <c r="F68" s="118">
        <f>3230000*40%</f>
        <v>1292000</v>
      </c>
      <c r="G68" s="120">
        <f>F68*E68</f>
        <v>13934866.000000002</v>
      </c>
      <c r="H68" s="174" t="s">
        <v>544</v>
      </c>
    </row>
    <row r="69" spans="1:8" ht="51.75" customHeight="1">
      <c r="A69" s="47"/>
      <c r="B69" s="121" t="s">
        <v>21</v>
      </c>
      <c r="C69" s="4" t="s">
        <v>509</v>
      </c>
      <c r="D69" s="44" t="s">
        <v>209</v>
      </c>
      <c r="E69" s="44">
        <f>(4.87*0.9*0.1)+(4.87*0.4*0.1)+((2.65*0.4*0.1)*2)</f>
        <v>0.8451</v>
      </c>
      <c r="F69" s="7">
        <f>7030000*40%</f>
        <v>2812000</v>
      </c>
      <c r="G69" s="12">
        <f>F69*E69</f>
        <v>2376421.1999999997</v>
      </c>
      <c r="H69" s="85" t="s">
        <v>543</v>
      </c>
    </row>
    <row r="70" spans="1:8" ht="84" customHeight="1">
      <c r="A70" s="48"/>
      <c r="B70" s="25" t="s">
        <v>243</v>
      </c>
      <c r="C70" s="55" t="s">
        <v>23</v>
      </c>
      <c r="D70" s="103" t="s">
        <v>4</v>
      </c>
      <c r="E70" s="119">
        <f>2.65*4.07</f>
        <v>10.7855</v>
      </c>
      <c r="F70" s="10">
        <f>3230000*40%</f>
        <v>1292000</v>
      </c>
      <c r="G70" s="84">
        <f>F70*E70</f>
        <v>13934866.000000002</v>
      </c>
      <c r="H70" s="174" t="s">
        <v>544</v>
      </c>
    </row>
    <row r="71" spans="1:8" ht="49.5" customHeight="1">
      <c r="A71" s="47"/>
      <c r="B71" s="25" t="s">
        <v>33</v>
      </c>
      <c r="C71" s="1" t="s">
        <v>509</v>
      </c>
      <c r="D71" s="44" t="s">
        <v>209</v>
      </c>
      <c r="E71" s="23">
        <f>(4.87*0.9*0.1)+(4.87*0.4*0.1)+((2.65*0.4*0.1)*2)</f>
        <v>0.8451</v>
      </c>
      <c r="F71" s="7">
        <f>7030000*40%</f>
        <v>2812000</v>
      </c>
      <c r="G71" s="12">
        <f>F71*E71</f>
        <v>2376421.1999999997</v>
      </c>
      <c r="H71" s="85" t="s">
        <v>543</v>
      </c>
    </row>
    <row r="72" spans="1:8" ht="24.75" customHeight="1">
      <c r="A72" s="2"/>
      <c r="B72" s="25"/>
      <c r="C72" s="31" t="s">
        <v>35</v>
      </c>
      <c r="D72" s="18"/>
      <c r="E72" s="35"/>
      <c r="F72" s="8"/>
      <c r="G72" s="12"/>
      <c r="H72" s="178"/>
    </row>
    <row r="73" spans="1:8" ht="40.5" customHeight="1">
      <c r="A73" s="2"/>
      <c r="B73" s="25"/>
      <c r="C73" s="3" t="s">
        <v>32</v>
      </c>
      <c r="D73" s="18" t="s">
        <v>24</v>
      </c>
      <c r="E73" s="35">
        <f>(10*1.2)+(3.2*1.6)+(3.5*1.1)+(3.7*0.9)</f>
        <v>24.300000000000004</v>
      </c>
      <c r="F73" s="8">
        <f>498000*40%</f>
        <v>199200</v>
      </c>
      <c r="G73" s="12">
        <f>F73*E73</f>
        <v>4840560.000000001</v>
      </c>
      <c r="H73" s="85" t="s">
        <v>458</v>
      </c>
    </row>
    <row r="74" spans="1:8" ht="40.5" customHeight="1">
      <c r="A74" s="2"/>
      <c r="B74" s="25"/>
      <c r="C74" s="3" t="s">
        <v>25</v>
      </c>
      <c r="D74" s="18" t="s">
        <v>24</v>
      </c>
      <c r="E74" s="35">
        <f>10.2*2.7</f>
        <v>27.54</v>
      </c>
      <c r="F74" s="8">
        <v>0</v>
      </c>
      <c r="G74" s="84">
        <f>F74*E74</f>
        <v>0</v>
      </c>
      <c r="H74" s="90" t="s">
        <v>540</v>
      </c>
    </row>
    <row r="75" spans="1:8" s="20" customFormat="1" ht="26.25" customHeight="1">
      <c r="A75" s="26"/>
      <c r="B75" s="26" t="s">
        <v>6</v>
      </c>
      <c r="C75" s="27"/>
      <c r="D75" s="37"/>
      <c r="E75" s="29"/>
      <c r="F75" s="9"/>
      <c r="G75" s="60">
        <f>SUM(G68:G74)</f>
        <v>37463134.400000006</v>
      </c>
      <c r="H75" s="68"/>
    </row>
    <row r="76" spans="1:8" ht="80.25" customHeight="1">
      <c r="A76" s="48">
        <v>3</v>
      </c>
      <c r="B76" s="122" t="s">
        <v>26</v>
      </c>
      <c r="C76" s="106" t="s">
        <v>28</v>
      </c>
      <c r="D76" s="103" t="s">
        <v>4</v>
      </c>
      <c r="E76" s="117">
        <f>2.65*4.07</f>
        <v>10.7855</v>
      </c>
      <c r="F76" s="10">
        <f>3230000*40%</f>
        <v>1292000</v>
      </c>
      <c r="G76" s="120">
        <f>F76*E76</f>
        <v>13934866.000000002</v>
      </c>
      <c r="H76" s="174" t="s">
        <v>544</v>
      </c>
    </row>
    <row r="77" spans="1:8" ht="57" customHeight="1">
      <c r="A77" s="47"/>
      <c r="B77" s="22" t="s">
        <v>16</v>
      </c>
      <c r="C77" s="4" t="s">
        <v>509</v>
      </c>
      <c r="D77" s="44" t="s">
        <v>209</v>
      </c>
      <c r="E77" s="44">
        <f>(4.87*0.9*0.1)+(4.87*0.4*0.1)+((2.65*0.4*0.1)*2)</f>
        <v>0.8451</v>
      </c>
      <c r="F77" s="7">
        <f>7030000*40%</f>
        <v>2812000</v>
      </c>
      <c r="G77" s="12">
        <f>F77*E77</f>
        <v>2376421.1999999997</v>
      </c>
      <c r="H77" s="85" t="s">
        <v>543</v>
      </c>
    </row>
    <row r="78" spans="1:8" ht="66" customHeight="1">
      <c r="A78" s="47"/>
      <c r="B78" s="25" t="s">
        <v>244</v>
      </c>
      <c r="C78" s="31" t="s">
        <v>35</v>
      </c>
      <c r="D78" s="18"/>
      <c r="E78" s="35"/>
      <c r="F78" s="8"/>
      <c r="G78" s="12"/>
      <c r="H78" s="178"/>
    </row>
    <row r="79" spans="1:8" ht="42.75" customHeight="1">
      <c r="A79" s="48"/>
      <c r="B79" s="87" t="s">
        <v>29</v>
      </c>
      <c r="C79" s="3" t="s">
        <v>7</v>
      </c>
      <c r="D79" s="18" t="s">
        <v>24</v>
      </c>
      <c r="E79" s="35">
        <f>(3.1*1)+(1.1*5.4)+(5.6*1.7)</f>
        <v>18.560000000000002</v>
      </c>
      <c r="F79" s="8">
        <f>498000*40%</f>
        <v>199200</v>
      </c>
      <c r="G79" s="84">
        <f>F79*E79</f>
        <v>3697152.0000000005</v>
      </c>
      <c r="H79" s="85" t="s">
        <v>458</v>
      </c>
    </row>
    <row r="80" spans="1:8" s="20" customFormat="1" ht="25.5" customHeight="1">
      <c r="A80" s="26"/>
      <c r="B80" s="26" t="s">
        <v>6</v>
      </c>
      <c r="C80" s="27"/>
      <c r="D80" s="37"/>
      <c r="E80" s="29"/>
      <c r="F80" s="9"/>
      <c r="G80" s="60">
        <f>SUM(G76:G79)</f>
        <v>20008439.200000003</v>
      </c>
      <c r="H80" s="68"/>
    </row>
    <row r="81" spans="1:8" ht="92.25" customHeight="1">
      <c r="A81" s="48">
        <v>4</v>
      </c>
      <c r="B81" s="122" t="s">
        <v>427</v>
      </c>
      <c r="C81" s="106" t="s">
        <v>30</v>
      </c>
      <c r="D81" s="103" t="s">
        <v>4</v>
      </c>
      <c r="E81" s="117">
        <f>2.65*4.07</f>
        <v>10.7855</v>
      </c>
      <c r="F81" s="10">
        <f>(3230000-(8%*3230000))*40%</f>
        <v>1188640</v>
      </c>
      <c r="G81" s="120">
        <f>F81*E81</f>
        <v>12820076.72</v>
      </c>
      <c r="H81" s="173" t="s">
        <v>545</v>
      </c>
    </row>
    <row r="82" spans="1:8" ht="57" customHeight="1">
      <c r="A82" s="47"/>
      <c r="B82" s="25" t="s">
        <v>245</v>
      </c>
      <c r="C82" s="4" t="s">
        <v>509</v>
      </c>
      <c r="D82" s="44" t="s">
        <v>209</v>
      </c>
      <c r="E82" s="44">
        <f>(4.87*0.9*0.1)+(4.87*0.4*0.1)+((2.65*0.4*0.1)*2)</f>
        <v>0.8451</v>
      </c>
      <c r="F82" s="7">
        <f>7030000*40%</f>
        <v>2812000</v>
      </c>
      <c r="G82" s="12">
        <f>F82*E82</f>
        <v>2376421.1999999997</v>
      </c>
      <c r="H82" s="85" t="s">
        <v>543</v>
      </c>
    </row>
    <row r="83" spans="1:8" ht="31.5" customHeight="1">
      <c r="A83" s="47"/>
      <c r="B83" s="22" t="s">
        <v>27</v>
      </c>
      <c r="C83" s="31" t="s">
        <v>35</v>
      </c>
      <c r="D83" s="18"/>
      <c r="E83" s="35"/>
      <c r="F83" s="8"/>
      <c r="G83" s="12"/>
      <c r="H83" s="178"/>
    </row>
    <row r="84" spans="1:8" ht="35.25" customHeight="1">
      <c r="A84" s="47"/>
      <c r="B84" s="25"/>
      <c r="C84" s="3" t="s">
        <v>90</v>
      </c>
      <c r="D84" s="18" t="s">
        <v>24</v>
      </c>
      <c r="E84" s="35">
        <f>5*1.3</f>
        <v>6.5</v>
      </c>
      <c r="F84" s="8">
        <f>736000*40%</f>
        <v>294400</v>
      </c>
      <c r="G84" s="12">
        <f>F84*E84</f>
        <v>1913600</v>
      </c>
      <c r="H84" s="85" t="s">
        <v>459</v>
      </c>
    </row>
    <row r="85" spans="1:8" ht="38.25" customHeight="1">
      <c r="A85" s="47"/>
      <c r="B85" s="25"/>
      <c r="C85" s="3" t="s">
        <v>7</v>
      </c>
      <c r="D85" s="44" t="s">
        <v>24</v>
      </c>
      <c r="E85" s="23">
        <f>(5*1.2)+(3*2)+(2.3*1)</f>
        <v>14.3</v>
      </c>
      <c r="F85" s="8">
        <f>498000*40%</f>
        <v>199200</v>
      </c>
      <c r="G85" s="12">
        <f>F85*E85</f>
        <v>2848560</v>
      </c>
      <c r="H85" s="85" t="s">
        <v>458</v>
      </c>
    </row>
    <row r="86" spans="1:8" s="20" customFormat="1" ht="25.5" customHeight="1">
      <c r="A86" s="26"/>
      <c r="B86" s="26" t="s">
        <v>6</v>
      </c>
      <c r="C86" s="27"/>
      <c r="D86" s="37"/>
      <c r="E86" s="29"/>
      <c r="F86" s="9"/>
      <c r="G86" s="60">
        <f>SUM(G81:G85)</f>
        <v>19958657.92</v>
      </c>
      <c r="H86" s="68"/>
    </row>
    <row r="87" spans="1:8" ht="101.25" customHeight="1">
      <c r="A87" s="2">
        <v>5</v>
      </c>
      <c r="B87" s="86" t="s">
        <v>36</v>
      </c>
      <c r="C87" s="5" t="s">
        <v>491</v>
      </c>
      <c r="D87" s="18" t="s">
        <v>4</v>
      </c>
      <c r="E87" s="65">
        <f>3.1*4.1</f>
        <v>12.709999999999999</v>
      </c>
      <c r="F87" s="8">
        <f>(3230000-(8%*3230000)-160000)*40%</f>
        <v>1124640</v>
      </c>
      <c r="G87" s="13">
        <f>F87*E87</f>
        <v>14294174.399999999</v>
      </c>
      <c r="H87" s="88" t="s">
        <v>546</v>
      </c>
    </row>
    <row r="88" spans="1:8" ht="29.25" customHeight="1">
      <c r="A88" s="47"/>
      <c r="B88" s="22" t="s">
        <v>37</v>
      </c>
      <c r="C88" s="89" t="s">
        <v>35</v>
      </c>
      <c r="D88" s="44"/>
      <c r="E88" s="44"/>
      <c r="F88" s="7"/>
      <c r="G88" s="12"/>
      <c r="H88" s="178"/>
    </row>
    <row r="89" spans="1:8" ht="63.75" customHeight="1">
      <c r="A89" s="47"/>
      <c r="B89" s="25" t="s">
        <v>246</v>
      </c>
      <c r="C89" s="1" t="s">
        <v>189</v>
      </c>
      <c r="D89" s="18" t="s">
        <v>4</v>
      </c>
      <c r="E89" s="35">
        <f>(6.1*4.1)+(2.5*4.1)</f>
        <v>35.26</v>
      </c>
      <c r="F89" s="8">
        <f>821000*40%</f>
        <v>328400</v>
      </c>
      <c r="G89" s="12">
        <f>F89*E89</f>
        <v>11579384</v>
      </c>
      <c r="H89" s="85" t="s">
        <v>460</v>
      </c>
    </row>
    <row r="90" spans="1:8" ht="55.5" customHeight="1">
      <c r="A90" s="47"/>
      <c r="B90" s="22" t="s">
        <v>38</v>
      </c>
      <c r="C90" s="3" t="s">
        <v>7</v>
      </c>
      <c r="D90" s="18" t="s">
        <v>4</v>
      </c>
      <c r="E90" s="35">
        <f>(3.1+6.1+2.5)*2.5</f>
        <v>29.25</v>
      </c>
      <c r="F90" s="8">
        <f>498000*40%</f>
        <v>199200</v>
      </c>
      <c r="G90" s="84">
        <f>F90*E90</f>
        <v>5826600</v>
      </c>
      <c r="H90" s="85" t="s">
        <v>458</v>
      </c>
    </row>
    <row r="91" spans="1:8" s="20" customFormat="1" ht="25.5" customHeight="1">
      <c r="A91" s="26"/>
      <c r="B91" s="26" t="s">
        <v>6</v>
      </c>
      <c r="C91" s="27"/>
      <c r="D91" s="37"/>
      <c r="E91" s="29"/>
      <c r="F91" s="9"/>
      <c r="G91" s="60">
        <f>SUM(G87:G90)</f>
        <v>31700158.4</v>
      </c>
      <c r="H91" s="68"/>
    </row>
    <row r="92" spans="1:8" ht="108" customHeight="1">
      <c r="A92" s="48">
        <v>6</v>
      </c>
      <c r="B92" s="122" t="s">
        <v>39</v>
      </c>
      <c r="C92" s="106" t="s">
        <v>200</v>
      </c>
      <c r="D92" s="103" t="s">
        <v>4</v>
      </c>
      <c r="E92" s="117">
        <f>4*2.65</f>
        <v>10.6</v>
      </c>
      <c r="F92" s="10">
        <f>(3230000-150000-(8%*3230000))*40%</f>
        <v>1128640</v>
      </c>
      <c r="G92" s="120">
        <f>F92*E92</f>
        <v>11963584</v>
      </c>
      <c r="H92" s="170" t="s">
        <v>547</v>
      </c>
    </row>
    <row r="93" spans="1:8" ht="50.25" customHeight="1">
      <c r="A93" s="47"/>
      <c r="B93" s="22" t="s">
        <v>40</v>
      </c>
      <c r="C93" s="4" t="s">
        <v>509</v>
      </c>
      <c r="D93" s="44" t="s">
        <v>209</v>
      </c>
      <c r="E93" s="44">
        <f>(4*0.9*0.1)+(2.65*0.4*0.1)+(4*0.4*0.1)</f>
        <v>0.6260000000000001</v>
      </c>
      <c r="F93" s="7">
        <f>7030000*40%</f>
        <v>2812000</v>
      </c>
      <c r="G93" s="12">
        <f>F93*E93</f>
        <v>1760312.0000000002</v>
      </c>
      <c r="H93" s="85" t="s">
        <v>543</v>
      </c>
    </row>
    <row r="94" spans="1:8" ht="42.75" customHeight="1">
      <c r="A94" s="47"/>
      <c r="B94" s="25" t="s">
        <v>247</v>
      </c>
      <c r="C94" s="31" t="s">
        <v>35</v>
      </c>
      <c r="D94" s="18"/>
      <c r="E94" s="35"/>
      <c r="F94" s="8"/>
      <c r="G94" s="12"/>
      <c r="H94" s="178"/>
    </row>
    <row r="95" spans="1:8" ht="39" customHeight="1">
      <c r="A95" s="47"/>
      <c r="B95" s="33" t="s">
        <v>515</v>
      </c>
      <c r="C95" s="3" t="s">
        <v>7</v>
      </c>
      <c r="D95" s="18" t="s">
        <v>4</v>
      </c>
      <c r="E95" s="35">
        <f>(3*1.6)</f>
        <v>4.800000000000001</v>
      </c>
      <c r="F95" s="8">
        <f>498000*40%</f>
        <v>199200</v>
      </c>
      <c r="G95" s="12">
        <f>F95*E95</f>
        <v>956160.0000000001</v>
      </c>
      <c r="H95" s="85" t="s">
        <v>458</v>
      </c>
    </row>
    <row r="96" spans="1:8" ht="37.5" customHeight="1">
      <c r="A96" s="47"/>
      <c r="B96" s="25"/>
      <c r="C96" s="3" t="s">
        <v>41</v>
      </c>
      <c r="D96" s="18" t="s">
        <v>4</v>
      </c>
      <c r="E96" s="23">
        <f>4*2.7</f>
        <v>10.8</v>
      </c>
      <c r="F96" s="8">
        <v>0</v>
      </c>
      <c r="G96" s="84">
        <f>F96*E96</f>
        <v>0</v>
      </c>
      <c r="H96" s="90" t="s">
        <v>540</v>
      </c>
    </row>
    <row r="97" spans="1:8" s="20" customFormat="1" ht="25.5" customHeight="1">
      <c r="A97" s="26"/>
      <c r="B97" s="26" t="s">
        <v>6</v>
      </c>
      <c r="C97" s="27"/>
      <c r="D97" s="37"/>
      <c r="E97" s="29"/>
      <c r="F97" s="9"/>
      <c r="G97" s="60">
        <f>SUM(G92:G96)</f>
        <v>14680056</v>
      </c>
      <c r="H97" s="68"/>
    </row>
    <row r="98" spans="1:8" ht="75" customHeight="1">
      <c r="A98" s="48">
        <v>7</v>
      </c>
      <c r="B98" s="122" t="s">
        <v>42</v>
      </c>
      <c r="C98" s="106" t="s">
        <v>44</v>
      </c>
      <c r="D98" s="103" t="s">
        <v>4</v>
      </c>
      <c r="E98" s="117">
        <f>2.65*4</f>
        <v>10.6</v>
      </c>
      <c r="F98" s="10">
        <f>3230000*40%</f>
        <v>1292000</v>
      </c>
      <c r="G98" s="120">
        <f>F98*E98</f>
        <v>13695200</v>
      </c>
      <c r="H98" s="174" t="s">
        <v>544</v>
      </c>
    </row>
    <row r="99" spans="1:8" ht="50.25" customHeight="1">
      <c r="A99" s="47"/>
      <c r="B99" s="138" t="s">
        <v>530</v>
      </c>
      <c r="C99" s="4" t="s">
        <v>510</v>
      </c>
      <c r="D99" s="44" t="s">
        <v>209</v>
      </c>
      <c r="E99" s="44">
        <f>(4*0.9*0.1)+(2.65*0.4*0.1)+(4*0.4*0.1)</f>
        <v>0.6260000000000001</v>
      </c>
      <c r="F99" s="7">
        <f>7030000*40%</f>
        <v>2812000</v>
      </c>
      <c r="G99" s="12">
        <f>F99*E99</f>
        <v>1760312.0000000002</v>
      </c>
      <c r="H99" s="85" t="s">
        <v>543</v>
      </c>
    </row>
    <row r="100" spans="1:8" ht="85.5" customHeight="1">
      <c r="A100" s="47"/>
      <c r="B100" s="25" t="s">
        <v>436</v>
      </c>
      <c r="C100" s="31" t="s">
        <v>35</v>
      </c>
      <c r="D100" s="18"/>
      <c r="E100" s="35"/>
      <c r="F100" s="8"/>
      <c r="G100" s="12"/>
      <c r="H100" s="178"/>
    </row>
    <row r="101" spans="1:8" ht="32.25" customHeight="1">
      <c r="A101" s="47"/>
      <c r="B101" s="25" t="s">
        <v>43</v>
      </c>
      <c r="C101" s="3" t="s">
        <v>41</v>
      </c>
      <c r="D101" s="18" t="s">
        <v>4</v>
      </c>
      <c r="E101" s="35">
        <f>4*2.7</f>
        <v>10.8</v>
      </c>
      <c r="F101" s="8">
        <v>0</v>
      </c>
      <c r="G101" s="12">
        <f>F101*E101</f>
        <v>0</v>
      </c>
      <c r="H101" s="90" t="s">
        <v>540</v>
      </c>
    </row>
    <row r="102" spans="1:8" s="20" customFormat="1" ht="25.5" customHeight="1">
      <c r="A102" s="26"/>
      <c r="B102" s="26" t="s">
        <v>6</v>
      </c>
      <c r="C102" s="27"/>
      <c r="D102" s="37"/>
      <c r="E102" s="29"/>
      <c r="F102" s="9"/>
      <c r="G102" s="60">
        <f>SUM(G98:G101)</f>
        <v>15455512</v>
      </c>
      <c r="H102" s="68"/>
    </row>
    <row r="103" spans="1:8" ht="111" customHeight="1">
      <c r="A103" s="48">
        <v>8</v>
      </c>
      <c r="B103" s="122" t="s">
        <v>46</v>
      </c>
      <c r="C103" s="106" t="s">
        <v>49</v>
      </c>
      <c r="D103" s="103" t="s">
        <v>4</v>
      </c>
      <c r="E103" s="117">
        <f>4*2.65</f>
        <v>10.6</v>
      </c>
      <c r="F103" s="10">
        <f>(3230000-150000-(8%*3230000))*40%</f>
        <v>1128640</v>
      </c>
      <c r="G103" s="120">
        <f>F103*E103</f>
        <v>11963584</v>
      </c>
      <c r="H103" s="170" t="s">
        <v>548</v>
      </c>
    </row>
    <row r="104" spans="1:8" ht="57" customHeight="1">
      <c r="A104" s="47"/>
      <c r="B104" s="22" t="s">
        <v>47</v>
      </c>
      <c r="C104" s="4" t="s">
        <v>509</v>
      </c>
      <c r="D104" s="44" t="s">
        <v>209</v>
      </c>
      <c r="E104" s="44">
        <f>(4*0.9*0.1)+(2.65*0.4*0.1)+(4*0.4*0.1)</f>
        <v>0.6260000000000001</v>
      </c>
      <c r="F104" s="7">
        <f>7030000*40%</f>
        <v>2812000</v>
      </c>
      <c r="G104" s="12">
        <f>F104*E104</f>
        <v>1760312.0000000002</v>
      </c>
      <c r="H104" s="85" t="s">
        <v>543</v>
      </c>
    </row>
    <row r="105" spans="1:8" ht="72" customHeight="1">
      <c r="A105" s="47"/>
      <c r="B105" s="25" t="s">
        <v>248</v>
      </c>
      <c r="C105" s="31" t="s">
        <v>35</v>
      </c>
      <c r="D105" s="18"/>
      <c r="E105" s="35"/>
      <c r="F105" s="8"/>
      <c r="G105" s="12"/>
      <c r="H105" s="178"/>
    </row>
    <row r="106" spans="1:8" ht="42.75" customHeight="1">
      <c r="A106" s="47"/>
      <c r="B106" s="22" t="s">
        <v>48</v>
      </c>
      <c r="C106" s="3" t="s">
        <v>7</v>
      </c>
      <c r="D106" s="18" t="s">
        <v>4</v>
      </c>
      <c r="E106" s="35">
        <f>(5.2*1.3)+(3.8*1.3)</f>
        <v>11.7</v>
      </c>
      <c r="F106" s="8">
        <f>498000*40%</f>
        <v>199200</v>
      </c>
      <c r="G106" s="84">
        <f>F106*E106</f>
        <v>2330640</v>
      </c>
      <c r="H106" s="85" t="s">
        <v>458</v>
      </c>
    </row>
    <row r="107" spans="1:8" s="20" customFormat="1" ht="25.5" customHeight="1">
      <c r="A107" s="26"/>
      <c r="B107" s="26" t="s">
        <v>6</v>
      </c>
      <c r="C107" s="27"/>
      <c r="D107" s="37"/>
      <c r="E107" s="29"/>
      <c r="F107" s="9"/>
      <c r="G107" s="60">
        <f>SUM(G103:G106)</f>
        <v>16054536</v>
      </c>
      <c r="H107" s="68"/>
    </row>
    <row r="108" spans="1:8" ht="97.5" customHeight="1">
      <c r="A108" s="48">
        <v>9</v>
      </c>
      <c r="B108" s="122" t="s">
        <v>50</v>
      </c>
      <c r="C108" s="106" t="s">
        <v>404</v>
      </c>
      <c r="D108" s="103" t="s">
        <v>4</v>
      </c>
      <c r="E108" s="117">
        <f>4*2.65</f>
        <v>10.6</v>
      </c>
      <c r="F108" s="10">
        <f>(3230000-(8%*3230000))*40%</f>
        <v>1188640</v>
      </c>
      <c r="G108" s="120">
        <f>F108*E108</f>
        <v>12599584</v>
      </c>
      <c r="H108" s="173" t="s">
        <v>549</v>
      </c>
    </row>
    <row r="109" spans="1:8" ht="57" customHeight="1">
      <c r="A109" s="47"/>
      <c r="B109" s="22" t="s">
        <v>51</v>
      </c>
      <c r="C109" s="4" t="s">
        <v>509</v>
      </c>
      <c r="D109" s="44" t="s">
        <v>209</v>
      </c>
      <c r="E109" s="44">
        <f>(4*0.9*0.1)+(2.65*0.4*0.1)+(4*0.4*0.1)</f>
        <v>0.6260000000000001</v>
      </c>
      <c r="F109" s="7">
        <f>7030000*40%</f>
        <v>2812000</v>
      </c>
      <c r="G109" s="12">
        <f>F109*E109</f>
        <v>1760312.0000000002</v>
      </c>
      <c r="H109" s="85" t="s">
        <v>543</v>
      </c>
    </row>
    <row r="110" spans="1:8" ht="69" customHeight="1">
      <c r="A110" s="47"/>
      <c r="B110" s="25" t="s">
        <v>249</v>
      </c>
      <c r="C110" s="31" t="s">
        <v>35</v>
      </c>
      <c r="D110" s="18"/>
      <c r="E110" s="35"/>
      <c r="F110" s="8"/>
      <c r="G110" s="12"/>
      <c r="H110" s="178"/>
    </row>
    <row r="111" spans="1:8" ht="33" customHeight="1">
      <c r="A111" s="47"/>
      <c r="B111" s="22" t="s">
        <v>52</v>
      </c>
      <c r="C111" s="3" t="s">
        <v>41</v>
      </c>
      <c r="D111" s="18" t="s">
        <v>4</v>
      </c>
      <c r="E111" s="35">
        <f>4*2.7</f>
        <v>10.8</v>
      </c>
      <c r="F111" s="8">
        <v>0</v>
      </c>
      <c r="G111" s="12">
        <f>F111*E111</f>
        <v>0</v>
      </c>
      <c r="H111" s="219" t="s">
        <v>540</v>
      </c>
    </row>
    <row r="112" spans="1:8" ht="33" customHeight="1">
      <c r="A112" s="47"/>
      <c r="B112" s="25"/>
      <c r="C112" s="3" t="s">
        <v>25</v>
      </c>
      <c r="D112" s="18" t="s">
        <v>4</v>
      </c>
      <c r="E112" s="23">
        <f>(1.96*4)+(2.63*1.96)</f>
        <v>12.9948</v>
      </c>
      <c r="F112" s="8">
        <v>0</v>
      </c>
      <c r="G112" s="84">
        <f>F112*E112</f>
        <v>0</v>
      </c>
      <c r="H112" s="204"/>
    </row>
    <row r="113" spans="1:8" s="20" customFormat="1" ht="25.5" customHeight="1">
      <c r="A113" s="26"/>
      <c r="B113" s="26" t="s">
        <v>6</v>
      </c>
      <c r="C113" s="27"/>
      <c r="D113" s="37"/>
      <c r="E113" s="29"/>
      <c r="F113" s="9"/>
      <c r="G113" s="60">
        <f>SUM(G108:G112)</f>
        <v>14359896</v>
      </c>
      <c r="H113" s="68"/>
    </row>
    <row r="114" spans="1:8" ht="35.25" customHeight="1">
      <c r="A114" s="2">
        <v>10</v>
      </c>
      <c r="B114" s="64" t="s">
        <v>53</v>
      </c>
      <c r="C114" s="91" t="s">
        <v>35</v>
      </c>
      <c r="D114" s="18"/>
      <c r="E114" s="65"/>
      <c r="F114" s="8"/>
      <c r="G114" s="13"/>
      <c r="H114" s="178"/>
    </row>
    <row r="115" spans="1:8" ht="57.75" customHeight="1">
      <c r="A115" s="47"/>
      <c r="B115" s="25" t="s">
        <v>250</v>
      </c>
      <c r="C115" s="4" t="s">
        <v>190</v>
      </c>
      <c r="D115" s="18" t="s">
        <v>4</v>
      </c>
      <c r="E115" s="44">
        <f>4.6*7.5</f>
        <v>34.5</v>
      </c>
      <c r="F115" s="8">
        <f>821000*40%</f>
        <v>328400</v>
      </c>
      <c r="G115" s="12">
        <f>F115*E115</f>
        <v>11329800</v>
      </c>
      <c r="H115" s="85" t="s">
        <v>460</v>
      </c>
    </row>
    <row r="116" spans="1:8" ht="53.25" customHeight="1">
      <c r="A116" s="47"/>
      <c r="B116" s="22" t="s">
        <v>54</v>
      </c>
      <c r="C116" s="1" t="s">
        <v>55</v>
      </c>
      <c r="D116" s="18" t="s">
        <v>4</v>
      </c>
      <c r="E116" s="35">
        <f>2.5*7.5</f>
        <v>18.75</v>
      </c>
      <c r="F116" s="8">
        <f>736000*40%</f>
        <v>294400</v>
      </c>
      <c r="G116" s="12">
        <f>F116*E116</f>
        <v>5520000</v>
      </c>
      <c r="H116" s="85" t="s">
        <v>459</v>
      </c>
    </row>
    <row r="117" spans="1:8" s="20" customFormat="1" ht="25.5" customHeight="1">
      <c r="A117" s="26"/>
      <c r="B117" s="26" t="s">
        <v>6</v>
      </c>
      <c r="C117" s="27"/>
      <c r="D117" s="37"/>
      <c r="E117" s="29"/>
      <c r="F117" s="9"/>
      <c r="G117" s="60">
        <f>SUM(G114:G116)</f>
        <v>16849800</v>
      </c>
      <c r="H117" s="68"/>
    </row>
    <row r="118" spans="1:8" ht="96.75" customHeight="1">
      <c r="A118" s="48">
        <v>11</v>
      </c>
      <c r="B118" s="122" t="s">
        <v>56</v>
      </c>
      <c r="C118" s="106" t="s">
        <v>550</v>
      </c>
      <c r="D118" s="103" t="s">
        <v>4</v>
      </c>
      <c r="E118" s="117">
        <f>3.1*6.3</f>
        <v>19.53</v>
      </c>
      <c r="F118" s="10">
        <f>(3230000-(8%*3230000))*40%</f>
        <v>1188640</v>
      </c>
      <c r="G118" s="120">
        <f>F118*E118</f>
        <v>23214139.200000003</v>
      </c>
      <c r="H118" s="173" t="s">
        <v>551</v>
      </c>
    </row>
    <row r="119" spans="1:8" ht="57" customHeight="1">
      <c r="A119" s="47"/>
      <c r="B119" s="138" t="s">
        <v>57</v>
      </c>
      <c r="C119" s="4" t="s">
        <v>509</v>
      </c>
      <c r="D119" s="44" t="s">
        <v>209</v>
      </c>
      <c r="E119" s="44">
        <f>(0.9*6.3*0.1)+((0.9*3.1*0.1)*2)</f>
        <v>1.125</v>
      </c>
      <c r="F119" s="7">
        <f>7030000*40%</f>
        <v>2812000</v>
      </c>
      <c r="G119" s="12">
        <f>F119*E119</f>
        <v>3163500</v>
      </c>
      <c r="H119" s="85" t="s">
        <v>552</v>
      </c>
    </row>
    <row r="120" spans="1:8" ht="69.75" customHeight="1">
      <c r="A120" s="47"/>
      <c r="B120" s="25" t="s">
        <v>251</v>
      </c>
      <c r="C120" s="31" t="s">
        <v>35</v>
      </c>
      <c r="D120" s="18"/>
      <c r="E120" s="41"/>
      <c r="F120" s="7"/>
      <c r="G120" s="12"/>
      <c r="H120" s="178"/>
    </row>
    <row r="121" spans="1:8" ht="35.25" customHeight="1">
      <c r="A121" s="47"/>
      <c r="B121" s="22" t="s">
        <v>91</v>
      </c>
      <c r="C121" s="3" t="s">
        <v>90</v>
      </c>
      <c r="D121" s="18" t="s">
        <v>4</v>
      </c>
      <c r="E121" s="23">
        <f>(3.5*4.8)+(6.3*1.5)+(2.2*3.1)</f>
        <v>33.07</v>
      </c>
      <c r="F121" s="8">
        <f>736000*40%</f>
        <v>294400</v>
      </c>
      <c r="G121" s="12">
        <f>F121*E121</f>
        <v>9735808</v>
      </c>
      <c r="H121" s="85" t="s">
        <v>459</v>
      </c>
    </row>
    <row r="122" spans="1:8" ht="35.25" customHeight="1">
      <c r="A122" s="47"/>
      <c r="B122" s="22"/>
      <c r="C122" s="3" t="s">
        <v>41</v>
      </c>
      <c r="D122" s="18" t="s">
        <v>4</v>
      </c>
      <c r="E122" s="23">
        <v>0</v>
      </c>
      <c r="F122" s="8">
        <v>0</v>
      </c>
      <c r="G122" s="12">
        <f>F122*E122</f>
        <v>0</v>
      </c>
      <c r="H122" s="90" t="s">
        <v>540</v>
      </c>
    </row>
    <row r="123" spans="1:8" ht="31.5">
      <c r="A123" s="47"/>
      <c r="B123" s="25"/>
      <c r="C123" s="4" t="s">
        <v>58</v>
      </c>
      <c r="D123" s="18" t="s">
        <v>4</v>
      </c>
      <c r="E123" s="44">
        <f>3.9*3</f>
        <v>11.7</v>
      </c>
      <c r="F123" s="8">
        <f>821000*40%</f>
        <v>328400</v>
      </c>
      <c r="G123" s="12">
        <f>F123*E123</f>
        <v>3842279.9999999995</v>
      </c>
      <c r="H123" s="85" t="s">
        <v>460</v>
      </c>
    </row>
    <row r="124" spans="1:8" ht="40.5" customHeight="1">
      <c r="A124" s="49"/>
      <c r="B124" s="92"/>
      <c r="C124" s="1" t="s">
        <v>7</v>
      </c>
      <c r="D124" s="18" t="s">
        <v>4</v>
      </c>
      <c r="E124" s="35">
        <f>3.9*2.9</f>
        <v>11.309999999999999</v>
      </c>
      <c r="F124" s="8">
        <f>498000*40%</f>
        <v>199200</v>
      </c>
      <c r="G124" s="84">
        <f>F124*E124</f>
        <v>2252951.9999999995</v>
      </c>
      <c r="H124" s="85" t="s">
        <v>458</v>
      </c>
    </row>
    <row r="125" spans="1:8" s="20" customFormat="1" ht="25.5" customHeight="1">
      <c r="A125" s="26"/>
      <c r="B125" s="26" t="s">
        <v>6</v>
      </c>
      <c r="C125" s="27"/>
      <c r="D125" s="37"/>
      <c r="E125" s="29"/>
      <c r="F125" s="9"/>
      <c r="G125" s="60">
        <f>SUM(G118:G124)</f>
        <v>42208679.2</v>
      </c>
      <c r="H125" s="68"/>
    </row>
    <row r="126" spans="1:8" ht="33" customHeight="1">
      <c r="A126" s="2">
        <v>12</v>
      </c>
      <c r="B126" s="64" t="s">
        <v>59</v>
      </c>
      <c r="C126" s="91" t="s">
        <v>35</v>
      </c>
      <c r="D126" s="18"/>
      <c r="E126" s="65"/>
      <c r="F126" s="8"/>
      <c r="G126" s="13"/>
      <c r="H126" s="178"/>
    </row>
    <row r="127" spans="1:8" ht="63.75" customHeight="1">
      <c r="A127" s="47"/>
      <c r="B127" s="25" t="s">
        <v>252</v>
      </c>
      <c r="C127" s="4" t="s">
        <v>198</v>
      </c>
      <c r="D127" s="18" t="s">
        <v>4</v>
      </c>
      <c r="E127" s="44">
        <f>(4.6*4.8)+(4.6*4.8)</f>
        <v>44.16</v>
      </c>
      <c r="F127" s="8">
        <f>821000*40%</f>
        <v>328400</v>
      </c>
      <c r="G127" s="12">
        <f>F127*E127</f>
        <v>14502143.999999998</v>
      </c>
      <c r="H127" s="85" t="s">
        <v>460</v>
      </c>
    </row>
    <row r="128" spans="1:8" ht="36.75" customHeight="1">
      <c r="A128" s="47"/>
      <c r="B128" s="22" t="s">
        <v>60</v>
      </c>
      <c r="C128" s="1" t="s">
        <v>193</v>
      </c>
      <c r="D128" s="18" t="s">
        <v>4</v>
      </c>
      <c r="E128" s="35">
        <f>2.5*9.6</f>
        <v>24</v>
      </c>
      <c r="F128" s="8">
        <f>736000*40%</f>
        <v>294400</v>
      </c>
      <c r="G128" s="12">
        <f>F128*E128</f>
        <v>7065600</v>
      </c>
      <c r="H128" s="85" t="s">
        <v>459</v>
      </c>
    </row>
    <row r="129" spans="1:8" s="20" customFormat="1" ht="25.5" customHeight="1">
      <c r="A129" s="26"/>
      <c r="B129" s="26" t="s">
        <v>6</v>
      </c>
      <c r="C129" s="27"/>
      <c r="D129" s="37"/>
      <c r="E129" s="29"/>
      <c r="F129" s="9"/>
      <c r="G129" s="60">
        <f>SUM(G126:G128)</f>
        <v>21567744</v>
      </c>
      <c r="H129" s="68"/>
    </row>
    <row r="130" spans="1:8" ht="88.5" customHeight="1">
      <c r="A130" s="48">
        <v>13</v>
      </c>
      <c r="B130" s="122" t="s">
        <v>61</v>
      </c>
      <c r="C130" s="106" t="s">
        <v>553</v>
      </c>
      <c r="D130" s="103" t="s">
        <v>4</v>
      </c>
      <c r="E130" s="117">
        <f>3*5</f>
        <v>15</v>
      </c>
      <c r="F130" s="10">
        <f>3230000*40%</f>
        <v>1292000</v>
      </c>
      <c r="G130" s="120">
        <f>F130*E130</f>
        <v>19380000</v>
      </c>
      <c r="H130" s="85" t="s">
        <v>467</v>
      </c>
    </row>
    <row r="131" spans="1:8" ht="46.5" customHeight="1">
      <c r="A131" s="47"/>
      <c r="B131" s="22" t="s">
        <v>63</v>
      </c>
      <c r="C131" s="4" t="s">
        <v>510</v>
      </c>
      <c r="D131" s="44" t="s">
        <v>209</v>
      </c>
      <c r="E131" s="44">
        <f>(3*0.9*0.1)+(2.5*0.9*0.1)</f>
        <v>0.495</v>
      </c>
      <c r="F131" s="7">
        <f>7030000*40%</f>
        <v>2812000</v>
      </c>
      <c r="G131" s="12">
        <f>F131*E131</f>
        <v>1391940</v>
      </c>
      <c r="H131" s="85" t="s">
        <v>554</v>
      </c>
    </row>
    <row r="132" spans="1:8" ht="47.25" customHeight="1">
      <c r="A132" s="47"/>
      <c r="B132" s="25" t="s">
        <v>253</v>
      </c>
      <c r="C132" s="31" t="s">
        <v>35</v>
      </c>
      <c r="D132" s="18"/>
      <c r="E132" s="35"/>
      <c r="F132" s="8"/>
      <c r="G132" s="12"/>
      <c r="H132" s="178"/>
    </row>
    <row r="133" spans="1:8" ht="45" customHeight="1">
      <c r="A133" s="47"/>
      <c r="B133" s="22" t="s">
        <v>62</v>
      </c>
      <c r="C133" s="3" t="s">
        <v>31</v>
      </c>
      <c r="D133" s="18" t="s">
        <v>4</v>
      </c>
      <c r="E133" s="35">
        <f>(2*1.5)+(4.1*7)</f>
        <v>31.699999999999996</v>
      </c>
      <c r="F133" s="8">
        <f>736000*40%</f>
        <v>294400</v>
      </c>
      <c r="G133" s="84">
        <f>F133*E133</f>
        <v>9332479.999999998</v>
      </c>
      <c r="H133" s="85" t="s">
        <v>459</v>
      </c>
    </row>
    <row r="134" spans="1:8" s="20" customFormat="1" ht="25.5" customHeight="1">
      <c r="A134" s="26"/>
      <c r="B134" s="26" t="s">
        <v>6</v>
      </c>
      <c r="C134" s="27"/>
      <c r="D134" s="37"/>
      <c r="E134" s="29"/>
      <c r="F134" s="9"/>
      <c r="G134" s="60">
        <f>SUM(G130:G133)</f>
        <v>30104420</v>
      </c>
      <c r="H134" s="68"/>
    </row>
    <row r="135" spans="1:8" ht="105.75" customHeight="1">
      <c r="A135" s="48">
        <v>14</v>
      </c>
      <c r="B135" s="122" t="s">
        <v>64</v>
      </c>
      <c r="C135" s="106" t="s">
        <v>555</v>
      </c>
      <c r="D135" s="103" t="s">
        <v>4</v>
      </c>
      <c r="E135" s="117">
        <f>6.4*6</f>
        <v>38.400000000000006</v>
      </c>
      <c r="F135" s="10">
        <f>(3230000-(8%*3230000))*40%</f>
        <v>1188640</v>
      </c>
      <c r="G135" s="120">
        <f>F135*E135</f>
        <v>45643776.00000001</v>
      </c>
      <c r="H135" s="173" t="s">
        <v>556</v>
      </c>
    </row>
    <row r="136" spans="1:8" ht="54" customHeight="1">
      <c r="A136" s="47"/>
      <c r="B136" s="138" t="s">
        <v>66</v>
      </c>
      <c r="C136" s="1" t="s">
        <v>509</v>
      </c>
      <c r="D136" s="44" t="s">
        <v>209</v>
      </c>
      <c r="E136" s="102">
        <f>(6*0.9*0.1)+(6.4*0.9*0.1)</f>
        <v>1.116</v>
      </c>
      <c r="F136" s="7">
        <f>7030000*40%</f>
        <v>2812000</v>
      </c>
      <c r="G136" s="12">
        <f>F136*E136</f>
        <v>3138192.0000000005</v>
      </c>
      <c r="H136" s="85" t="s">
        <v>543</v>
      </c>
    </row>
    <row r="137" spans="1:8" ht="68.25" customHeight="1">
      <c r="A137" s="47"/>
      <c r="B137" s="25" t="s">
        <v>348</v>
      </c>
      <c r="C137" s="89" t="s">
        <v>35</v>
      </c>
      <c r="D137" s="18"/>
      <c r="E137" s="44"/>
      <c r="F137" s="7"/>
      <c r="G137" s="12"/>
      <c r="H137" s="178"/>
    </row>
    <row r="138" spans="1:8" ht="41.25" customHeight="1">
      <c r="A138" s="47"/>
      <c r="B138" s="22" t="s">
        <v>65</v>
      </c>
      <c r="C138" s="1" t="s">
        <v>199</v>
      </c>
      <c r="D138" s="18" t="s">
        <v>4</v>
      </c>
      <c r="E138" s="35">
        <f>1.5*6</f>
        <v>9</v>
      </c>
      <c r="F138" s="8">
        <f>821000*40%</f>
        <v>328400</v>
      </c>
      <c r="G138" s="12">
        <f>F138*E138</f>
        <v>2955600</v>
      </c>
      <c r="H138" s="85" t="s">
        <v>460</v>
      </c>
    </row>
    <row r="139" spans="1:8" ht="41.25" customHeight="1">
      <c r="A139" s="47"/>
      <c r="B139" s="22"/>
      <c r="C139" s="3" t="s">
        <v>7</v>
      </c>
      <c r="D139" s="18" t="s">
        <v>4</v>
      </c>
      <c r="E139" s="35">
        <f>((2+6.4+1.5)*2)+(6*1.5)</f>
        <v>28.8</v>
      </c>
      <c r="F139" s="8">
        <f>498000*40%</f>
        <v>199200</v>
      </c>
      <c r="G139" s="12">
        <f>F139*E139</f>
        <v>5736960</v>
      </c>
      <c r="H139" s="85" t="s">
        <v>458</v>
      </c>
    </row>
    <row r="140" spans="1:8" ht="41.25" customHeight="1">
      <c r="A140" s="47"/>
      <c r="C140" s="3" t="s">
        <v>67</v>
      </c>
      <c r="D140" s="18" t="s">
        <v>4</v>
      </c>
      <c r="E140" s="35">
        <f>(8+1.5+6.4+2)*2.2</f>
        <v>39.38</v>
      </c>
      <c r="F140" s="8">
        <v>0</v>
      </c>
      <c r="G140" s="84">
        <f>F140*E140</f>
        <v>0</v>
      </c>
      <c r="H140" s="90" t="s">
        <v>540</v>
      </c>
    </row>
    <row r="141" spans="1:8" s="20" customFormat="1" ht="25.5" customHeight="1">
      <c r="A141" s="26"/>
      <c r="B141" s="26" t="s">
        <v>6</v>
      </c>
      <c r="C141" s="27"/>
      <c r="D141" s="37"/>
      <c r="E141" s="29"/>
      <c r="F141" s="9"/>
      <c r="G141" s="60">
        <f>SUM(G135:G140)</f>
        <v>57474528.00000001</v>
      </c>
      <c r="H141" s="68"/>
    </row>
    <row r="142" spans="1:8" ht="102.75" customHeight="1">
      <c r="A142" s="48">
        <v>15</v>
      </c>
      <c r="B142" s="122" t="s">
        <v>68</v>
      </c>
      <c r="C142" s="106" t="s">
        <v>92</v>
      </c>
      <c r="D142" s="103" t="s">
        <v>4</v>
      </c>
      <c r="E142" s="117">
        <f>5*3</f>
        <v>15</v>
      </c>
      <c r="F142" s="10">
        <f>(3230000-(8%*3230000))*40%</f>
        <v>1188640</v>
      </c>
      <c r="G142" s="120">
        <f>F142*E142</f>
        <v>17829600</v>
      </c>
      <c r="H142" s="173" t="s">
        <v>542</v>
      </c>
    </row>
    <row r="143" spans="1:8" ht="57" customHeight="1">
      <c r="A143" s="47"/>
      <c r="B143" s="22" t="s">
        <v>70</v>
      </c>
      <c r="C143" s="4" t="s">
        <v>509</v>
      </c>
      <c r="D143" s="44" t="s">
        <v>209</v>
      </c>
      <c r="E143" s="44">
        <f>3*0.9*0.1</f>
        <v>0.27</v>
      </c>
      <c r="F143" s="7">
        <f>7030000*40%</f>
        <v>2812000</v>
      </c>
      <c r="G143" s="12">
        <f>F143*E143</f>
        <v>759240</v>
      </c>
      <c r="H143" s="85" t="s">
        <v>543</v>
      </c>
    </row>
    <row r="144" spans="1:8" ht="63.75" customHeight="1">
      <c r="A144" s="47"/>
      <c r="B144" s="25" t="s">
        <v>254</v>
      </c>
      <c r="C144" s="31" t="s">
        <v>35</v>
      </c>
      <c r="D144" s="18"/>
      <c r="E144" s="35"/>
      <c r="F144" s="8"/>
      <c r="G144" s="12"/>
      <c r="H144" s="178"/>
    </row>
    <row r="145" spans="1:8" ht="39" customHeight="1">
      <c r="A145" s="47"/>
      <c r="B145" s="22" t="s">
        <v>69</v>
      </c>
      <c r="C145" s="3" t="s">
        <v>7</v>
      </c>
      <c r="D145" s="18" t="s">
        <v>4</v>
      </c>
      <c r="E145" s="35">
        <f>3*1.7</f>
        <v>5.1</v>
      </c>
      <c r="F145" s="8">
        <f>498000*40%</f>
        <v>199200</v>
      </c>
      <c r="G145" s="84">
        <f>F145*E145</f>
        <v>1015919.9999999999</v>
      </c>
      <c r="H145" s="85" t="s">
        <v>458</v>
      </c>
    </row>
    <row r="146" spans="1:8" s="20" customFormat="1" ht="25.5" customHeight="1">
      <c r="A146" s="26"/>
      <c r="B146" s="26" t="s">
        <v>6</v>
      </c>
      <c r="C146" s="27"/>
      <c r="D146" s="37"/>
      <c r="E146" s="29"/>
      <c r="F146" s="9"/>
      <c r="G146" s="60">
        <f>SUM(G142:G145)</f>
        <v>19604760</v>
      </c>
      <c r="H146" s="68"/>
    </row>
    <row r="147" spans="1:8" ht="117" customHeight="1">
      <c r="A147" s="2">
        <v>16</v>
      </c>
      <c r="B147" s="93" t="s">
        <v>71</v>
      </c>
      <c r="C147" s="5" t="s">
        <v>201</v>
      </c>
      <c r="D147" s="18" t="s">
        <v>4</v>
      </c>
      <c r="E147" s="65">
        <f>4*2.65</f>
        <v>10.6</v>
      </c>
      <c r="F147" s="8">
        <f>(3230000-150000-(8%*3230000))*40%</f>
        <v>1128640</v>
      </c>
      <c r="G147" s="13">
        <f>F147*E147</f>
        <v>11963584</v>
      </c>
      <c r="H147" s="88" t="s">
        <v>557</v>
      </c>
    </row>
    <row r="148" spans="1:8" ht="103.5" customHeight="1">
      <c r="A148" s="48"/>
      <c r="B148" s="123" t="s">
        <v>73</v>
      </c>
      <c r="C148" s="124" t="s">
        <v>120</v>
      </c>
      <c r="D148" s="103" t="s">
        <v>4</v>
      </c>
      <c r="E148" s="119">
        <f>5*3</f>
        <v>15</v>
      </c>
      <c r="F148" s="10">
        <f>(3230000-(8%*3230000))*40%</f>
        <v>1188640</v>
      </c>
      <c r="G148" s="84">
        <f>F148*E148</f>
        <v>17829600</v>
      </c>
      <c r="H148" s="174" t="s">
        <v>558</v>
      </c>
    </row>
    <row r="149" spans="1:8" ht="57" customHeight="1">
      <c r="A149" s="47"/>
      <c r="B149" s="25" t="s">
        <v>255</v>
      </c>
      <c r="C149" s="1" t="s">
        <v>511</v>
      </c>
      <c r="D149" s="44" t="s">
        <v>209</v>
      </c>
      <c r="E149" s="44">
        <f>(4*0.9*0.1)+(2.65*0.4*0.1)+(4*0.4*0.1)</f>
        <v>0.6260000000000001</v>
      </c>
      <c r="F149" s="7">
        <f>7030000*40%</f>
        <v>2812000</v>
      </c>
      <c r="G149" s="12">
        <f>F149*E149</f>
        <v>1760312.0000000002</v>
      </c>
      <c r="H149" s="85" t="s">
        <v>559</v>
      </c>
    </row>
    <row r="150" spans="1:8" ht="57" customHeight="1">
      <c r="A150" s="47"/>
      <c r="B150" s="22" t="s">
        <v>72</v>
      </c>
      <c r="C150" s="1" t="s">
        <v>509</v>
      </c>
      <c r="D150" s="44" t="s">
        <v>209</v>
      </c>
      <c r="E150" s="44">
        <f>3*0.9*0.1</f>
        <v>0.27</v>
      </c>
      <c r="F150" s="7">
        <f>7030000*40%</f>
        <v>2812000</v>
      </c>
      <c r="G150" s="12">
        <f>F150*E150</f>
        <v>759240</v>
      </c>
      <c r="H150" s="85" t="s">
        <v>559</v>
      </c>
    </row>
    <row r="151" spans="1:8" ht="27.75" customHeight="1">
      <c r="A151" s="47"/>
      <c r="B151" s="95"/>
      <c r="C151" s="31" t="s">
        <v>35</v>
      </c>
      <c r="D151" s="18"/>
      <c r="E151" s="35"/>
      <c r="F151" s="8"/>
      <c r="G151" s="12"/>
      <c r="H151" s="178"/>
    </row>
    <row r="152" spans="1:8" ht="37.5" customHeight="1">
      <c r="A152" s="47"/>
      <c r="B152" s="95"/>
      <c r="C152" s="1" t="s">
        <v>211</v>
      </c>
      <c r="D152" s="18" t="s">
        <v>4</v>
      </c>
      <c r="E152" s="35">
        <f>4.8*2.5</f>
        <v>12</v>
      </c>
      <c r="F152" s="8">
        <f>150000*40%</f>
        <v>60000</v>
      </c>
      <c r="G152" s="12">
        <f>F152*E152</f>
        <v>720000</v>
      </c>
      <c r="H152" s="85" t="s">
        <v>461</v>
      </c>
    </row>
    <row r="153" spans="1:8" ht="37.5" customHeight="1">
      <c r="A153" s="47"/>
      <c r="B153" s="25"/>
      <c r="C153" s="3" t="s">
        <v>7</v>
      </c>
      <c r="D153" s="18" t="s">
        <v>4</v>
      </c>
      <c r="E153" s="23">
        <f>(5*1.9)+(4.6*1)+(3*1.7)</f>
        <v>19.2</v>
      </c>
      <c r="F153" s="8">
        <f>498000*40%</f>
        <v>199200</v>
      </c>
      <c r="G153" s="12">
        <f>F153*E153</f>
        <v>3824640</v>
      </c>
      <c r="H153" s="85" t="s">
        <v>458</v>
      </c>
    </row>
    <row r="154" spans="1:8" s="20" customFormat="1" ht="25.5" customHeight="1">
      <c r="A154" s="26"/>
      <c r="B154" s="26" t="s">
        <v>6</v>
      </c>
      <c r="C154" s="27"/>
      <c r="D154" s="37"/>
      <c r="E154" s="29"/>
      <c r="F154" s="9"/>
      <c r="G154" s="60">
        <f>SUM(G147:G153)</f>
        <v>36857376</v>
      </c>
      <c r="H154" s="68"/>
    </row>
    <row r="155" spans="1:8" ht="71.25" customHeight="1">
      <c r="A155" s="48">
        <v>17</v>
      </c>
      <c r="B155" s="122" t="s">
        <v>74</v>
      </c>
      <c r="C155" s="106" t="s">
        <v>77</v>
      </c>
      <c r="D155" s="103" t="s">
        <v>4</v>
      </c>
      <c r="E155" s="117">
        <f>5.2*3</f>
        <v>15.600000000000001</v>
      </c>
      <c r="F155" s="10">
        <f>3230000*40%</f>
        <v>1292000</v>
      </c>
      <c r="G155" s="120">
        <f>F155*E155</f>
        <v>20155200</v>
      </c>
      <c r="H155" s="85" t="s">
        <v>560</v>
      </c>
    </row>
    <row r="156" spans="1:8" ht="57" customHeight="1">
      <c r="A156" s="47"/>
      <c r="B156" s="22" t="s">
        <v>76</v>
      </c>
      <c r="C156" s="1" t="s">
        <v>509</v>
      </c>
      <c r="D156" s="44" t="s">
        <v>209</v>
      </c>
      <c r="E156" s="44">
        <f>(5.2*0.9*0.1)+(3*0.4*0.1)+(5.2*0.4*0.1)</f>
        <v>0.796</v>
      </c>
      <c r="F156" s="7">
        <f>7030000*40%</f>
        <v>2812000</v>
      </c>
      <c r="G156" s="12">
        <f>F156*E156</f>
        <v>2238352</v>
      </c>
      <c r="H156" s="85" t="s">
        <v>559</v>
      </c>
    </row>
    <row r="157" spans="1:8" ht="78" customHeight="1">
      <c r="A157" s="47"/>
      <c r="B157" s="25" t="s">
        <v>346</v>
      </c>
      <c r="C157" s="31" t="s">
        <v>35</v>
      </c>
      <c r="D157" s="18"/>
      <c r="E157" s="35"/>
      <c r="F157" s="8"/>
      <c r="G157" s="12"/>
      <c r="H157" s="178"/>
    </row>
    <row r="158" spans="1:8" ht="38.25" customHeight="1">
      <c r="A158" s="47"/>
      <c r="B158" s="22" t="s">
        <v>75</v>
      </c>
      <c r="C158" s="3" t="s">
        <v>90</v>
      </c>
      <c r="D158" s="18" t="s">
        <v>4</v>
      </c>
      <c r="E158" s="35">
        <f>(7*1)+(2*4.1)</f>
        <v>15.2</v>
      </c>
      <c r="F158" s="8">
        <f>736000*40%</f>
        <v>294400</v>
      </c>
      <c r="G158" s="12">
        <f>F158*E158</f>
        <v>4474880</v>
      </c>
      <c r="H158" s="85" t="s">
        <v>459</v>
      </c>
    </row>
    <row r="159" spans="1:8" ht="38.25" customHeight="1">
      <c r="A159" s="47"/>
      <c r="B159" s="25"/>
      <c r="C159" s="3" t="s">
        <v>7</v>
      </c>
      <c r="D159" s="18" t="s">
        <v>4</v>
      </c>
      <c r="E159" s="23">
        <f>(7*1.5)+(5.5*1.3)</f>
        <v>17.65</v>
      </c>
      <c r="F159" s="8">
        <f>498000*40%</f>
        <v>199200</v>
      </c>
      <c r="G159" s="84">
        <f>F159*E159</f>
        <v>3515879.9999999995</v>
      </c>
      <c r="H159" s="85" t="s">
        <v>458</v>
      </c>
    </row>
    <row r="160" spans="1:8" s="20" customFormat="1" ht="25.5" customHeight="1">
      <c r="A160" s="26"/>
      <c r="B160" s="26" t="s">
        <v>6</v>
      </c>
      <c r="C160" s="27"/>
      <c r="D160" s="37"/>
      <c r="E160" s="29"/>
      <c r="F160" s="9"/>
      <c r="G160" s="60">
        <f>SUM(G155:G159)</f>
        <v>30384312</v>
      </c>
      <c r="H160" s="68"/>
    </row>
    <row r="161" spans="1:8" ht="96.75" customHeight="1">
      <c r="A161" s="48">
        <v>18</v>
      </c>
      <c r="B161" s="122" t="s">
        <v>78</v>
      </c>
      <c r="C161" s="106" t="s">
        <v>81</v>
      </c>
      <c r="D161" s="103" t="s">
        <v>4</v>
      </c>
      <c r="E161" s="117">
        <f>4*2.65</f>
        <v>10.6</v>
      </c>
      <c r="F161" s="10">
        <f>(3230000-(8%*3230000))*40%</f>
        <v>1188640</v>
      </c>
      <c r="G161" s="120">
        <f>F161*E161</f>
        <v>12599584</v>
      </c>
      <c r="H161" s="174" t="s">
        <v>556</v>
      </c>
    </row>
    <row r="162" spans="1:8" ht="57" customHeight="1">
      <c r="A162" s="47"/>
      <c r="B162" s="22" t="s">
        <v>80</v>
      </c>
      <c r="C162" s="4" t="s">
        <v>509</v>
      </c>
      <c r="D162" s="44" t="s">
        <v>209</v>
      </c>
      <c r="E162" s="44">
        <f>(4*0.9*0.1)+(2.65*0.4*0.1)+(4*0.4*0.1)</f>
        <v>0.6260000000000001</v>
      </c>
      <c r="F162" s="7">
        <f>7030000*40%</f>
        <v>2812000</v>
      </c>
      <c r="G162" s="12">
        <f>F162*E162</f>
        <v>1760312.0000000002</v>
      </c>
      <c r="H162" s="85" t="s">
        <v>559</v>
      </c>
    </row>
    <row r="163" spans="1:8" ht="43.5" customHeight="1">
      <c r="A163" s="47"/>
      <c r="B163" s="25" t="s">
        <v>258</v>
      </c>
      <c r="C163" s="31" t="s">
        <v>35</v>
      </c>
      <c r="D163" s="18"/>
      <c r="E163" s="35"/>
      <c r="F163" s="8"/>
      <c r="G163" s="12"/>
      <c r="H163" s="178"/>
    </row>
    <row r="164" spans="1:8" ht="38.25" customHeight="1">
      <c r="A164" s="47"/>
      <c r="B164" s="22" t="s">
        <v>79</v>
      </c>
      <c r="C164" s="3" t="s">
        <v>82</v>
      </c>
      <c r="D164" s="18" t="s">
        <v>4</v>
      </c>
      <c r="E164" s="35">
        <f>4*2.7</f>
        <v>10.8</v>
      </c>
      <c r="F164" s="8">
        <v>0</v>
      </c>
      <c r="G164" s="84">
        <f>F164*E164</f>
        <v>0</v>
      </c>
      <c r="H164" s="90" t="s">
        <v>540</v>
      </c>
    </row>
    <row r="165" spans="1:8" s="20" customFormat="1" ht="25.5" customHeight="1">
      <c r="A165" s="26"/>
      <c r="B165" s="26" t="s">
        <v>6</v>
      </c>
      <c r="C165" s="27"/>
      <c r="D165" s="37"/>
      <c r="E165" s="29"/>
      <c r="F165" s="9"/>
      <c r="G165" s="60">
        <f>SUM(G161:G164)</f>
        <v>14359896</v>
      </c>
      <c r="H165" s="68"/>
    </row>
    <row r="166" spans="1:8" ht="99.75" customHeight="1">
      <c r="A166" s="48">
        <v>19</v>
      </c>
      <c r="B166" s="122" t="s">
        <v>83</v>
      </c>
      <c r="C166" s="106" t="s">
        <v>400</v>
      </c>
      <c r="D166" s="103" t="s">
        <v>4</v>
      </c>
      <c r="E166" s="117">
        <f>5*3</f>
        <v>15</v>
      </c>
      <c r="F166" s="10">
        <f>(3230000-(8%*3230000))*40%</f>
        <v>1188640</v>
      </c>
      <c r="G166" s="120">
        <f>F166*E166</f>
        <v>17829600</v>
      </c>
      <c r="H166" s="174" t="s">
        <v>561</v>
      </c>
    </row>
    <row r="167" spans="1:8" ht="57" customHeight="1">
      <c r="A167" s="47"/>
      <c r="B167" s="22" t="s">
        <v>85</v>
      </c>
      <c r="C167" s="1" t="s">
        <v>511</v>
      </c>
      <c r="D167" s="44" t="s">
        <v>209</v>
      </c>
      <c r="E167" s="44">
        <f>(4*0.9*0.1)+(3*0.9*0.1)</f>
        <v>0.6300000000000001</v>
      </c>
      <c r="F167" s="7">
        <f>7030000*40%</f>
        <v>2812000</v>
      </c>
      <c r="G167" s="12">
        <f>F167*E167</f>
        <v>1771560.0000000002</v>
      </c>
      <c r="H167" s="85" t="s">
        <v>559</v>
      </c>
    </row>
    <row r="168" spans="1:8" ht="79.5" customHeight="1">
      <c r="A168" s="47"/>
      <c r="B168" s="25" t="s">
        <v>256</v>
      </c>
      <c r="C168" s="31" t="s">
        <v>35</v>
      </c>
      <c r="D168" s="18"/>
      <c r="E168" s="35"/>
      <c r="F168" s="8"/>
      <c r="G168" s="12"/>
      <c r="H168" s="178"/>
    </row>
    <row r="169" spans="1:8" ht="36" customHeight="1">
      <c r="A169" s="47"/>
      <c r="B169" s="22" t="s">
        <v>84</v>
      </c>
      <c r="C169" s="3" t="s">
        <v>31</v>
      </c>
      <c r="D169" s="18" t="s">
        <v>4</v>
      </c>
      <c r="E169" s="35">
        <f>4.8*1.9</f>
        <v>9.12</v>
      </c>
      <c r="F169" s="8">
        <f>736000*40%</f>
        <v>294400</v>
      </c>
      <c r="G169" s="12">
        <f>F169*E169</f>
        <v>2684928</v>
      </c>
      <c r="H169" s="85" t="s">
        <v>459</v>
      </c>
    </row>
    <row r="170" spans="1:8" ht="36" customHeight="1">
      <c r="A170" s="47"/>
      <c r="B170" s="25"/>
      <c r="C170" s="3" t="s">
        <v>32</v>
      </c>
      <c r="D170" s="18" t="s">
        <v>4</v>
      </c>
      <c r="E170" s="23">
        <f>5.2*1.7</f>
        <v>8.84</v>
      </c>
      <c r="F170" s="8">
        <f>498000*40%</f>
        <v>199200</v>
      </c>
      <c r="G170" s="84">
        <f>F170*E170</f>
        <v>1760928</v>
      </c>
      <c r="H170" s="85" t="s">
        <v>458</v>
      </c>
    </row>
    <row r="171" spans="1:8" s="20" customFormat="1" ht="25.5" customHeight="1">
      <c r="A171" s="26"/>
      <c r="B171" s="26" t="s">
        <v>6</v>
      </c>
      <c r="C171" s="27"/>
      <c r="D171" s="37"/>
      <c r="E171" s="29"/>
      <c r="F171" s="9"/>
      <c r="G171" s="60">
        <f>SUM(G166:G170)</f>
        <v>24047016</v>
      </c>
      <c r="H171" s="68"/>
    </row>
    <row r="172" spans="1:8" ht="106.5" customHeight="1">
      <c r="A172" s="48">
        <v>20</v>
      </c>
      <c r="B172" s="122" t="s">
        <v>114</v>
      </c>
      <c r="C172" s="106" t="s">
        <v>117</v>
      </c>
      <c r="D172" s="103"/>
      <c r="E172" s="117">
        <f>(5.2*0.3)*2</f>
        <v>3.12</v>
      </c>
      <c r="F172" s="10">
        <f>(3230000-(8%*3230000))*40%</f>
        <v>1188640</v>
      </c>
      <c r="G172" s="120">
        <f>F172*E172</f>
        <v>3708556.8000000003</v>
      </c>
      <c r="H172" s="174" t="s">
        <v>561</v>
      </c>
    </row>
    <row r="173" spans="1:8" ht="57" customHeight="1">
      <c r="A173" s="47"/>
      <c r="B173" s="138" t="s">
        <v>116</v>
      </c>
      <c r="C173" s="1" t="s">
        <v>509</v>
      </c>
      <c r="D173" s="44" t="s">
        <v>209</v>
      </c>
      <c r="E173" s="102">
        <f>((5.2*0.9*0.1)*2)+((3*0.9*0.1)*2)</f>
        <v>1.4760000000000002</v>
      </c>
      <c r="F173" s="7">
        <f>7030000*40%</f>
        <v>2812000</v>
      </c>
      <c r="G173" s="12">
        <f>F173*E173</f>
        <v>4150512.0000000005</v>
      </c>
      <c r="H173" s="85" t="s">
        <v>559</v>
      </c>
    </row>
    <row r="174" spans="1:8" ht="25.5" customHeight="1">
      <c r="A174" s="47"/>
      <c r="B174" s="83" t="s">
        <v>85</v>
      </c>
      <c r="C174" s="89" t="s">
        <v>35</v>
      </c>
      <c r="D174" s="44"/>
      <c r="E174" s="44"/>
      <c r="F174" s="7"/>
      <c r="G174" s="12"/>
      <c r="H174" s="178"/>
    </row>
    <row r="175" spans="1:8" ht="58.5" customHeight="1">
      <c r="A175" s="47"/>
      <c r="B175" s="25" t="s">
        <v>256</v>
      </c>
      <c r="C175" s="1" t="s">
        <v>90</v>
      </c>
      <c r="D175" s="18" t="s">
        <v>4</v>
      </c>
      <c r="E175" s="35">
        <f>6*1.8</f>
        <v>10.8</v>
      </c>
      <c r="F175" s="8">
        <f>736000*40%</f>
        <v>294400</v>
      </c>
      <c r="G175" s="12">
        <f>F175*E175</f>
        <v>3179520</v>
      </c>
      <c r="H175" s="85" t="s">
        <v>459</v>
      </c>
    </row>
    <row r="176" spans="1:8" ht="39" customHeight="1">
      <c r="A176" s="47"/>
      <c r="B176" s="22" t="s">
        <v>84</v>
      </c>
      <c r="C176" s="3" t="s">
        <v>7</v>
      </c>
      <c r="D176" s="18" t="s">
        <v>4</v>
      </c>
      <c r="E176" s="35">
        <f>7.5*2.4</f>
        <v>18</v>
      </c>
      <c r="F176" s="8">
        <f>498000*40%</f>
        <v>199200</v>
      </c>
      <c r="G176" s="84">
        <f>F176*E176</f>
        <v>3585600</v>
      </c>
      <c r="H176" s="85" t="s">
        <v>458</v>
      </c>
    </row>
    <row r="177" spans="1:8" s="20" customFormat="1" ht="25.5" customHeight="1">
      <c r="A177" s="26"/>
      <c r="B177" s="26" t="s">
        <v>6</v>
      </c>
      <c r="C177" s="27"/>
      <c r="D177" s="37"/>
      <c r="E177" s="29"/>
      <c r="F177" s="9"/>
      <c r="G177" s="60">
        <f>SUM(G172:G176)</f>
        <v>14624188.8</v>
      </c>
      <c r="H177" s="68"/>
    </row>
    <row r="178" spans="1:8" ht="98.25" customHeight="1">
      <c r="A178" s="48">
        <v>21</v>
      </c>
      <c r="B178" s="122" t="s">
        <v>86</v>
      </c>
      <c r="C178" s="106" t="s">
        <v>492</v>
      </c>
      <c r="D178" s="103" t="s">
        <v>4</v>
      </c>
      <c r="E178" s="117">
        <f>3.1*6.2</f>
        <v>19.220000000000002</v>
      </c>
      <c r="F178" s="10">
        <f>(3230000-(8%*3230000))*40%</f>
        <v>1188640</v>
      </c>
      <c r="G178" s="120">
        <f>F178*E178</f>
        <v>22845660.800000004</v>
      </c>
      <c r="H178" s="173" t="s">
        <v>562</v>
      </c>
    </row>
    <row r="179" spans="1:8" ht="57" customHeight="1">
      <c r="A179" s="47"/>
      <c r="B179" s="137" t="s">
        <v>87</v>
      </c>
      <c r="C179" s="4" t="s">
        <v>509</v>
      </c>
      <c r="D179" s="44" t="s">
        <v>209</v>
      </c>
      <c r="E179" s="44">
        <f>(3.1+3.1)*0.9*0.1</f>
        <v>0.558</v>
      </c>
      <c r="F179" s="7">
        <f>7030000*40%</f>
        <v>2812000</v>
      </c>
      <c r="G179" s="12">
        <f>F179*E179</f>
        <v>1569096.0000000002</v>
      </c>
      <c r="H179" s="85" t="s">
        <v>563</v>
      </c>
    </row>
    <row r="180" spans="1:8" ht="34.5" customHeight="1">
      <c r="A180" s="47"/>
      <c r="B180" s="25" t="s">
        <v>88</v>
      </c>
      <c r="C180" s="31" t="s">
        <v>35</v>
      </c>
      <c r="D180" s="18"/>
      <c r="E180" s="35"/>
      <c r="F180" s="8"/>
      <c r="G180" s="12"/>
      <c r="H180" s="178"/>
    </row>
    <row r="181" spans="1:8" ht="60.75" customHeight="1">
      <c r="A181" s="47"/>
      <c r="B181" s="33" t="s">
        <v>269</v>
      </c>
      <c r="C181" s="3" t="s">
        <v>90</v>
      </c>
      <c r="D181" s="18" t="s">
        <v>4</v>
      </c>
      <c r="E181" s="35">
        <f>6.2*2.1</f>
        <v>13.020000000000001</v>
      </c>
      <c r="F181" s="8">
        <f>736000*40%</f>
        <v>294400</v>
      </c>
      <c r="G181" s="12">
        <f>F181*E181</f>
        <v>3833088.0000000005</v>
      </c>
      <c r="H181" s="85" t="s">
        <v>459</v>
      </c>
    </row>
    <row r="182" spans="1:8" ht="25.5" customHeight="1">
      <c r="A182" s="47"/>
      <c r="B182" s="25" t="s">
        <v>89</v>
      </c>
      <c r="C182" s="3"/>
      <c r="D182" s="44"/>
      <c r="E182" s="23"/>
      <c r="F182" s="8"/>
      <c r="G182" s="84"/>
      <c r="H182" s="71"/>
    </row>
    <row r="183" spans="1:8" s="20" customFormat="1" ht="25.5" customHeight="1">
      <c r="A183" s="26"/>
      <c r="B183" s="26" t="s">
        <v>6</v>
      </c>
      <c r="C183" s="27"/>
      <c r="D183" s="37"/>
      <c r="E183" s="29"/>
      <c r="F183" s="9"/>
      <c r="G183" s="60">
        <f>SUM(G178:G182)</f>
        <v>28247844.800000004</v>
      </c>
      <c r="H183" s="68"/>
    </row>
    <row r="184" spans="1:8" ht="31.5" customHeight="1">
      <c r="A184" s="2">
        <v>22</v>
      </c>
      <c r="B184" s="64" t="s">
        <v>93</v>
      </c>
      <c r="C184" s="91" t="s">
        <v>35</v>
      </c>
      <c r="D184" s="18"/>
      <c r="E184" s="65"/>
      <c r="F184" s="8"/>
      <c r="G184" s="13"/>
      <c r="H184" s="178"/>
    </row>
    <row r="185" spans="1:8" ht="51" customHeight="1">
      <c r="A185" s="47"/>
      <c r="B185" s="25" t="s">
        <v>257</v>
      </c>
      <c r="C185" s="4" t="s">
        <v>231</v>
      </c>
      <c r="D185" s="18" t="s">
        <v>4</v>
      </c>
      <c r="E185" s="44">
        <f>3.5*4.7</f>
        <v>16.45</v>
      </c>
      <c r="F185" s="7">
        <f>821000*40%</f>
        <v>328400</v>
      </c>
      <c r="G185" s="12">
        <f>F185*E185</f>
        <v>5402180</v>
      </c>
      <c r="H185" s="85" t="s">
        <v>460</v>
      </c>
    </row>
    <row r="186" spans="1:8" ht="39" customHeight="1">
      <c r="A186" s="47"/>
      <c r="B186" s="22" t="s">
        <v>94</v>
      </c>
      <c r="C186" s="1" t="s">
        <v>232</v>
      </c>
      <c r="D186" s="18" t="s">
        <v>4</v>
      </c>
      <c r="E186" s="35">
        <f>3.5*2</f>
        <v>7</v>
      </c>
      <c r="F186" s="8">
        <f>498000*40%</f>
        <v>199200</v>
      </c>
      <c r="G186" s="12">
        <f>F186*E186</f>
        <v>1394400</v>
      </c>
      <c r="H186" s="85" t="s">
        <v>458</v>
      </c>
    </row>
    <row r="187" spans="1:8" s="20" customFormat="1" ht="25.5" customHeight="1">
      <c r="A187" s="26"/>
      <c r="B187" s="26" t="s">
        <v>6</v>
      </c>
      <c r="C187" s="27"/>
      <c r="D187" s="37"/>
      <c r="E187" s="29"/>
      <c r="F187" s="9"/>
      <c r="G187" s="60">
        <f>SUM(G184:G186)</f>
        <v>6796580</v>
      </c>
      <c r="H187" s="68"/>
    </row>
    <row r="188" spans="1:8" ht="30.75" customHeight="1">
      <c r="A188" s="2">
        <v>23</v>
      </c>
      <c r="B188" s="64" t="s">
        <v>95</v>
      </c>
      <c r="C188" s="91" t="s">
        <v>35</v>
      </c>
      <c r="D188" s="18"/>
      <c r="E188" s="65"/>
      <c r="F188" s="8"/>
      <c r="G188" s="13"/>
      <c r="H188" s="178"/>
    </row>
    <row r="189" spans="1:8" ht="61.5" customHeight="1">
      <c r="A189" s="47"/>
      <c r="B189" s="25" t="s">
        <v>258</v>
      </c>
      <c r="C189" s="4" t="s">
        <v>367</v>
      </c>
      <c r="D189" s="18" t="s">
        <v>4</v>
      </c>
      <c r="E189" s="44">
        <f>3.6*4.7</f>
        <v>16.92</v>
      </c>
      <c r="F189" s="7">
        <f>821000*40%</f>
        <v>328400</v>
      </c>
      <c r="G189" s="12">
        <f>F189*E189</f>
        <v>5556528.000000001</v>
      </c>
      <c r="H189" s="85" t="s">
        <v>460</v>
      </c>
    </row>
    <row r="190" spans="1:8" ht="44.25" customHeight="1">
      <c r="A190" s="47"/>
      <c r="B190" s="22" t="s">
        <v>96</v>
      </c>
      <c r="C190" s="1" t="s">
        <v>7</v>
      </c>
      <c r="D190" s="18" t="s">
        <v>4</v>
      </c>
      <c r="E190" s="35">
        <f>3.6*2</f>
        <v>7.2</v>
      </c>
      <c r="F190" s="8">
        <f>498000*40%</f>
        <v>199200</v>
      </c>
      <c r="G190" s="12">
        <f>F190*E190</f>
        <v>1434240</v>
      </c>
      <c r="H190" s="85" t="s">
        <v>458</v>
      </c>
    </row>
    <row r="191" spans="1:8" s="20" customFormat="1" ht="25.5" customHeight="1">
      <c r="A191" s="26"/>
      <c r="B191" s="26" t="s">
        <v>6</v>
      </c>
      <c r="C191" s="27"/>
      <c r="D191" s="37"/>
      <c r="E191" s="29"/>
      <c r="F191" s="9"/>
      <c r="G191" s="60">
        <f>SUM(G188:G190)</f>
        <v>6990768.000000001</v>
      </c>
      <c r="H191" s="68"/>
    </row>
    <row r="192" spans="1:8" ht="102" customHeight="1">
      <c r="A192" s="2">
        <v>24</v>
      </c>
      <c r="B192" s="64" t="s">
        <v>97</v>
      </c>
      <c r="C192" s="5" t="s">
        <v>401</v>
      </c>
      <c r="D192" s="18" t="s">
        <v>4</v>
      </c>
      <c r="E192" s="65">
        <f>(3.1*6.2)+(3*3.1)</f>
        <v>28.520000000000003</v>
      </c>
      <c r="F192" s="8">
        <f>(3230000-(4%*3230000))*40%</f>
        <v>1240320</v>
      </c>
      <c r="G192" s="13">
        <f>F192*E192</f>
        <v>35373926.400000006</v>
      </c>
      <c r="H192" s="178" t="s">
        <v>564</v>
      </c>
    </row>
    <row r="193" spans="1:8" ht="78" customHeight="1">
      <c r="A193" s="49"/>
      <c r="B193" s="125" t="s">
        <v>99</v>
      </c>
      <c r="C193" s="124" t="s">
        <v>202</v>
      </c>
      <c r="D193" s="41" t="s">
        <v>4</v>
      </c>
      <c r="E193" s="42">
        <f>5.2*3</f>
        <v>15.600000000000001</v>
      </c>
      <c r="F193" s="34">
        <f>3230000*40%</f>
        <v>1292000</v>
      </c>
      <c r="G193" s="84">
        <f>F193*E193</f>
        <v>20155200</v>
      </c>
      <c r="H193" s="85" t="s">
        <v>467</v>
      </c>
    </row>
    <row r="194" spans="1:8" ht="57" customHeight="1">
      <c r="A194" s="47"/>
      <c r="B194" s="25" t="s">
        <v>259</v>
      </c>
      <c r="C194" s="4" t="s">
        <v>510</v>
      </c>
      <c r="D194" s="44" t="s">
        <v>209</v>
      </c>
      <c r="E194" s="44">
        <f>(0.7*5*0.1)+(0.9*7.8*0.1)+(0.9*6.2*0.1)</f>
        <v>1.61</v>
      </c>
      <c r="F194" s="7">
        <f>7030000*40%</f>
        <v>2812000</v>
      </c>
      <c r="G194" s="12">
        <f>F194*E194</f>
        <v>4527320</v>
      </c>
      <c r="H194" s="85" t="s">
        <v>565</v>
      </c>
    </row>
    <row r="195" spans="1:8" ht="57" customHeight="1">
      <c r="A195" s="47"/>
      <c r="B195" s="22" t="s">
        <v>98</v>
      </c>
      <c r="C195" s="1" t="s">
        <v>509</v>
      </c>
      <c r="D195" s="44" t="s">
        <v>209</v>
      </c>
      <c r="E195" s="23">
        <f>(5.2*0.9*0.1)+(3*0.4*0.1)+(5.2*0.4*0.1)</f>
        <v>0.796</v>
      </c>
      <c r="F195" s="7">
        <f>7030000*40%</f>
        <v>2812000</v>
      </c>
      <c r="G195" s="12">
        <f>F195*E195</f>
        <v>2238352</v>
      </c>
      <c r="H195" s="85" t="s">
        <v>565</v>
      </c>
    </row>
    <row r="196" spans="1:8" ht="28.5" customHeight="1">
      <c r="A196" s="47"/>
      <c r="B196" s="95"/>
      <c r="C196" s="31" t="s">
        <v>35</v>
      </c>
      <c r="D196" s="32"/>
      <c r="E196" s="23"/>
      <c r="F196" s="7"/>
      <c r="G196" s="12"/>
      <c r="H196" s="178"/>
    </row>
    <row r="197" spans="1:8" ht="57.75" customHeight="1">
      <c r="A197" s="47"/>
      <c r="B197" s="95"/>
      <c r="C197" s="1" t="s">
        <v>100</v>
      </c>
      <c r="D197" s="32" t="s">
        <v>4</v>
      </c>
      <c r="E197" s="23">
        <f>(5*2)+(7.8*1.9)+(6.2*2)</f>
        <v>37.22</v>
      </c>
      <c r="F197" s="7">
        <f>736000*40%</f>
        <v>294400</v>
      </c>
      <c r="G197" s="12">
        <f>F197*E197</f>
        <v>10957568</v>
      </c>
      <c r="H197" s="90" t="s">
        <v>459</v>
      </c>
    </row>
    <row r="198" spans="1:8" ht="43.5" customHeight="1">
      <c r="A198" s="50"/>
      <c r="B198" s="96"/>
      <c r="C198" s="97" t="s">
        <v>90</v>
      </c>
      <c r="D198" s="38" t="s">
        <v>4</v>
      </c>
      <c r="E198" s="43">
        <f>3.1*1.9</f>
        <v>5.89</v>
      </c>
      <c r="F198" s="14">
        <f>736000*40%</f>
        <v>294400</v>
      </c>
      <c r="G198" s="98">
        <f>F198*E198</f>
        <v>1734016</v>
      </c>
      <c r="H198" s="90" t="s">
        <v>459</v>
      </c>
    </row>
    <row r="199" spans="1:8" s="20" customFormat="1" ht="25.5" customHeight="1">
      <c r="A199" s="26"/>
      <c r="B199" s="26" t="s">
        <v>6</v>
      </c>
      <c r="C199" s="27"/>
      <c r="D199" s="37"/>
      <c r="E199" s="29"/>
      <c r="F199" s="9"/>
      <c r="G199" s="60">
        <f>SUM(G192:G198)</f>
        <v>74986382.4</v>
      </c>
      <c r="H199" s="68"/>
    </row>
    <row r="200" spans="1:8" ht="87.75" customHeight="1">
      <c r="A200" s="2">
        <v>25</v>
      </c>
      <c r="B200" s="64" t="s">
        <v>101</v>
      </c>
      <c r="C200" s="5" t="s">
        <v>493</v>
      </c>
      <c r="D200" s="18" t="s">
        <v>4</v>
      </c>
      <c r="E200" s="65">
        <f>4.7*3.8</f>
        <v>17.86</v>
      </c>
      <c r="F200" s="8">
        <f>(3230000-160000)*40%</f>
        <v>1228000</v>
      </c>
      <c r="G200" s="13">
        <f>F200*E200</f>
        <v>21932080</v>
      </c>
      <c r="H200" s="178" t="s">
        <v>566</v>
      </c>
    </row>
    <row r="201" spans="1:8" ht="31.5" customHeight="1">
      <c r="A201" s="2"/>
      <c r="B201" s="64" t="s">
        <v>103</v>
      </c>
      <c r="C201" s="99" t="s">
        <v>35</v>
      </c>
      <c r="D201" s="18"/>
      <c r="E201" s="67"/>
      <c r="F201" s="8"/>
      <c r="G201" s="12"/>
      <c r="H201" s="178"/>
    </row>
    <row r="202" spans="1:8" ht="60.75" customHeight="1">
      <c r="A202" s="47"/>
      <c r="B202" s="83" t="s">
        <v>104</v>
      </c>
      <c r="C202" s="4" t="s">
        <v>366</v>
      </c>
      <c r="D202" s="18" t="s">
        <v>4</v>
      </c>
      <c r="E202" s="44">
        <f>5.4*4.7</f>
        <v>25.380000000000003</v>
      </c>
      <c r="F202" s="7">
        <f>821000*40%</f>
        <v>328400</v>
      </c>
      <c r="G202" s="12">
        <f>F202*E202</f>
        <v>8334792.000000001</v>
      </c>
      <c r="H202" s="85" t="s">
        <v>460</v>
      </c>
    </row>
    <row r="203" spans="1:8" ht="63" customHeight="1">
      <c r="A203" s="47"/>
      <c r="B203" s="25" t="s">
        <v>260</v>
      </c>
      <c r="C203" s="1" t="s">
        <v>7</v>
      </c>
      <c r="D203" s="18" t="s">
        <v>4</v>
      </c>
      <c r="E203" s="35">
        <f>2*9.2</f>
        <v>18.4</v>
      </c>
      <c r="F203" s="8">
        <f>498000*40%</f>
        <v>199200</v>
      </c>
      <c r="G203" s="12">
        <f>F203*E203</f>
        <v>3665279.9999999995</v>
      </c>
      <c r="H203" s="85" t="s">
        <v>458</v>
      </c>
    </row>
    <row r="204" spans="1:8" ht="25.5" customHeight="1">
      <c r="A204" s="47"/>
      <c r="B204" s="22" t="s">
        <v>102</v>
      </c>
      <c r="C204" s="3"/>
      <c r="D204" s="18"/>
      <c r="E204" s="35"/>
      <c r="F204" s="8"/>
      <c r="G204" s="84"/>
      <c r="H204" s="71"/>
    </row>
    <row r="205" spans="1:8" s="20" customFormat="1" ht="25.5" customHeight="1">
      <c r="A205" s="26"/>
      <c r="B205" s="26" t="s">
        <v>6</v>
      </c>
      <c r="C205" s="27"/>
      <c r="D205" s="37"/>
      <c r="E205" s="29"/>
      <c r="F205" s="9"/>
      <c r="G205" s="60">
        <f>SUM(G200:G204)</f>
        <v>33932152</v>
      </c>
      <c r="H205" s="68"/>
    </row>
    <row r="206" spans="1:8" ht="97.5" customHeight="1">
      <c r="A206" s="48">
        <v>26</v>
      </c>
      <c r="B206" s="122" t="s">
        <v>105</v>
      </c>
      <c r="C206" s="106" t="s">
        <v>567</v>
      </c>
      <c r="D206" s="103" t="s">
        <v>4</v>
      </c>
      <c r="E206" s="117">
        <f>3.1*6.2</f>
        <v>19.220000000000002</v>
      </c>
      <c r="F206" s="10">
        <f>(3230000-(8%*3230000))*40%</f>
        <v>1188640</v>
      </c>
      <c r="G206" s="120">
        <f aca="true" t="shared" si="0" ref="G206:G211">F206*E206</f>
        <v>22845660.800000004</v>
      </c>
      <c r="H206" s="173" t="s">
        <v>568</v>
      </c>
    </row>
    <row r="207" spans="1:8" ht="57" customHeight="1">
      <c r="A207" s="47"/>
      <c r="B207" s="22" t="s">
        <v>106</v>
      </c>
      <c r="C207" s="4" t="s">
        <v>509</v>
      </c>
      <c r="D207" s="44" t="s">
        <v>209</v>
      </c>
      <c r="E207" s="44">
        <f>(3.1+3.1+6.2)*0.9*0.1</f>
        <v>1.116</v>
      </c>
      <c r="F207" s="7">
        <f>7030000*40%</f>
        <v>2812000</v>
      </c>
      <c r="G207" s="12">
        <f t="shared" si="0"/>
        <v>3138192.0000000005</v>
      </c>
      <c r="H207" s="85" t="s">
        <v>569</v>
      </c>
    </row>
    <row r="208" spans="1:8" ht="69.75" customHeight="1">
      <c r="A208" s="49"/>
      <c r="B208" s="92" t="s">
        <v>261</v>
      </c>
      <c r="C208" s="124" t="s">
        <v>599</v>
      </c>
      <c r="D208" s="103" t="s">
        <v>4</v>
      </c>
      <c r="E208" s="56">
        <f>3.1*6.2</f>
        <v>19.220000000000002</v>
      </c>
      <c r="F208" s="10">
        <f>(3230000-(8%*3230000))*40%</f>
        <v>1188640</v>
      </c>
      <c r="G208" s="84">
        <f t="shared" si="0"/>
        <v>22845660.800000004</v>
      </c>
      <c r="H208" s="172" t="s">
        <v>568</v>
      </c>
    </row>
    <row r="209" spans="1:8" ht="57" customHeight="1">
      <c r="A209" s="47"/>
      <c r="B209" s="22" t="s">
        <v>118</v>
      </c>
      <c r="C209" s="1" t="s">
        <v>510</v>
      </c>
      <c r="D209" s="44" t="s">
        <v>209</v>
      </c>
      <c r="E209" s="23">
        <f>(3.1+3.1+6.2)*0.9*0.1</f>
        <v>1.116</v>
      </c>
      <c r="F209" s="7">
        <f>7030000*40%</f>
        <v>2812000</v>
      </c>
      <c r="G209" s="12">
        <f t="shared" si="0"/>
        <v>3138192.0000000005</v>
      </c>
      <c r="H209" s="85" t="s">
        <v>569</v>
      </c>
    </row>
    <row r="210" spans="1:8" ht="92.25" customHeight="1">
      <c r="A210" s="49"/>
      <c r="B210" s="125"/>
      <c r="C210" s="55" t="s">
        <v>119</v>
      </c>
      <c r="D210" s="103" t="s">
        <v>4</v>
      </c>
      <c r="E210" s="56">
        <f>5*3</f>
        <v>15</v>
      </c>
      <c r="F210" s="10">
        <f>(3230000-(8%*3230000))*40%</f>
        <v>1188640</v>
      </c>
      <c r="G210" s="84">
        <f t="shared" si="0"/>
        <v>17829600</v>
      </c>
      <c r="H210" s="172" t="s">
        <v>568</v>
      </c>
    </row>
    <row r="211" spans="1:8" ht="49.5" customHeight="1">
      <c r="A211" s="47"/>
      <c r="B211" s="22"/>
      <c r="C211" s="1" t="s">
        <v>509</v>
      </c>
      <c r="D211" s="44" t="s">
        <v>209</v>
      </c>
      <c r="E211" s="23">
        <f>3*0.9*0.1</f>
        <v>0.27</v>
      </c>
      <c r="F211" s="7">
        <f>7030000*40%</f>
        <v>2812000</v>
      </c>
      <c r="G211" s="12">
        <f t="shared" si="0"/>
        <v>759240</v>
      </c>
      <c r="H211" s="85" t="s">
        <v>569</v>
      </c>
    </row>
    <row r="212" spans="1:8" ht="27" customHeight="1">
      <c r="A212" s="47"/>
      <c r="B212" s="25"/>
      <c r="C212" s="99" t="s">
        <v>35</v>
      </c>
      <c r="D212" s="18"/>
      <c r="E212" s="23"/>
      <c r="F212" s="8"/>
      <c r="G212" s="12"/>
      <c r="H212" s="178"/>
    </row>
    <row r="213" spans="1:8" ht="62.25" customHeight="1">
      <c r="A213" s="47"/>
      <c r="B213" s="22"/>
      <c r="C213" s="1" t="s">
        <v>484</v>
      </c>
      <c r="D213" s="18" t="s">
        <v>4</v>
      </c>
      <c r="E213" s="23">
        <f>1.5*6.2</f>
        <v>9.3</v>
      </c>
      <c r="F213" s="8">
        <f>821000*40%</f>
        <v>328400</v>
      </c>
      <c r="G213" s="12">
        <f>F213*E213</f>
        <v>3054120.0000000005</v>
      </c>
      <c r="H213" s="85" t="s">
        <v>460</v>
      </c>
    </row>
    <row r="214" spans="1:8" ht="40.5" customHeight="1">
      <c r="A214" s="48"/>
      <c r="B214" s="57"/>
      <c r="C214" s="55" t="s">
        <v>7</v>
      </c>
      <c r="D214" s="18" t="s">
        <v>4</v>
      </c>
      <c r="E214" s="56">
        <f>3*1.7</f>
        <v>5.1</v>
      </c>
      <c r="F214" s="8">
        <f>498000*40%</f>
        <v>199200</v>
      </c>
      <c r="G214" s="84">
        <f>F214*E214</f>
        <v>1015919.9999999999</v>
      </c>
      <c r="H214" s="85" t="s">
        <v>458</v>
      </c>
    </row>
    <row r="215" spans="1:8" s="20" customFormat="1" ht="25.5" customHeight="1">
      <c r="A215" s="26"/>
      <c r="B215" s="26" t="s">
        <v>6</v>
      </c>
      <c r="C215" s="27"/>
      <c r="D215" s="37"/>
      <c r="E215" s="29"/>
      <c r="F215" s="9"/>
      <c r="G215" s="60">
        <f>SUM(G206:G214)</f>
        <v>74626585.60000001</v>
      </c>
      <c r="H215" s="68"/>
    </row>
    <row r="216" spans="1:8" ht="84" customHeight="1">
      <c r="A216" s="48">
        <v>27</v>
      </c>
      <c r="B216" s="122" t="s">
        <v>107</v>
      </c>
      <c r="C216" s="106" t="s">
        <v>570</v>
      </c>
      <c r="D216" s="103" t="s">
        <v>4</v>
      </c>
      <c r="E216" s="117">
        <f>3.1*6.2</f>
        <v>19.220000000000002</v>
      </c>
      <c r="F216" s="10">
        <f>(3230000-(8%*3230000))*40%</f>
        <v>1188640</v>
      </c>
      <c r="G216" s="120">
        <f>F216*E216</f>
        <v>22845660.800000004</v>
      </c>
      <c r="H216" s="172" t="s">
        <v>571</v>
      </c>
    </row>
    <row r="217" spans="1:8" ht="57" customHeight="1">
      <c r="A217" s="47"/>
      <c r="B217" s="22" t="s">
        <v>16</v>
      </c>
      <c r="C217" s="4" t="s">
        <v>510</v>
      </c>
      <c r="D217" s="44" t="s">
        <v>209</v>
      </c>
      <c r="E217" s="44">
        <f>(3.1+3.1)*0.9*0.1</f>
        <v>0.558</v>
      </c>
      <c r="F217" s="7">
        <f>7030000*40%</f>
        <v>2812000</v>
      </c>
      <c r="G217" s="12">
        <f>F217*E217</f>
        <v>1569096.0000000002</v>
      </c>
      <c r="H217" s="85" t="s">
        <v>565</v>
      </c>
    </row>
    <row r="218" spans="1:8" ht="86.25" customHeight="1">
      <c r="A218" s="47"/>
      <c r="B218" s="25" t="s">
        <v>262</v>
      </c>
      <c r="C218" s="31" t="s">
        <v>35</v>
      </c>
      <c r="D218" s="18"/>
      <c r="E218" s="35"/>
      <c r="F218" s="8"/>
      <c r="G218" s="12"/>
      <c r="H218" s="178"/>
    </row>
    <row r="219" spans="1:8" ht="42.75" customHeight="1">
      <c r="A219" s="47"/>
      <c r="B219" s="22" t="s">
        <v>108</v>
      </c>
      <c r="C219" s="3" t="s">
        <v>90</v>
      </c>
      <c r="D219" s="18" t="s">
        <v>4</v>
      </c>
      <c r="E219" s="35">
        <f>3.1*2.1</f>
        <v>6.510000000000001</v>
      </c>
      <c r="F219" s="8">
        <f>736000*40%</f>
        <v>294400</v>
      </c>
      <c r="G219" s="84">
        <f>F219*E219</f>
        <v>1916544.0000000002</v>
      </c>
      <c r="H219" s="85" t="s">
        <v>459</v>
      </c>
    </row>
    <row r="220" spans="1:8" s="20" customFormat="1" ht="25.5" customHeight="1">
      <c r="A220" s="26"/>
      <c r="B220" s="26" t="s">
        <v>6</v>
      </c>
      <c r="C220" s="27"/>
      <c r="D220" s="37"/>
      <c r="E220" s="29"/>
      <c r="F220" s="9"/>
      <c r="G220" s="60">
        <f>SUM(G216:G219)</f>
        <v>26331300.800000004</v>
      </c>
      <c r="H220" s="68"/>
    </row>
    <row r="221" spans="1:8" ht="99.75" customHeight="1">
      <c r="A221" s="48">
        <v>28</v>
      </c>
      <c r="B221" s="122" t="s">
        <v>109</v>
      </c>
      <c r="C221" s="106" t="s">
        <v>111</v>
      </c>
      <c r="D221" s="103" t="s">
        <v>4</v>
      </c>
      <c r="E221" s="117">
        <f>2.65*4</f>
        <v>10.6</v>
      </c>
      <c r="F221" s="10">
        <f>(3230000-(4%*3230000))*40%</f>
        <v>1240320</v>
      </c>
      <c r="G221" s="120">
        <f>F221*E221</f>
        <v>13147392</v>
      </c>
      <c r="H221" s="174" t="s">
        <v>572</v>
      </c>
    </row>
    <row r="222" spans="1:8" ht="60.75" customHeight="1">
      <c r="A222" s="47"/>
      <c r="B222" s="138" t="s">
        <v>115</v>
      </c>
      <c r="C222" s="1" t="s">
        <v>509</v>
      </c>
      <c r="D222" s="44" t="s">
        <v>209</v>
      </c>
      <c r="E222" s="102">
        <f>(4*0.9*0.1)+(2.65*0.4*0.1)+(4*0.4*0.1)</f>
        <v>0.6260000000000001</v>
      </c>
      <c r="F222" s="7">
        <f>7030000*40%</f>
        <v>2812000</v>
      </c>
      <c r="G222" s="12">
        <f>F222*E222</f>
        <v>1760312.0000000002</v>
      </c>
      <c r="H222" s="85" t="s">
        <v>565</v>
      </c>
    </row>
    <row r="223" spans="1:8" ht="68.25" customHeight="1">
      <c r="A223" s="47"/>
      <c r="B223" s="25" t="s">
        <v>263</v>
      </c>
      <c r="C223" s="89" t="s">
        <v>35</v>
      </c>
      <c r="D223" s="18"/>
      <c r="E223" s="44"/>
      <c r="F223" s="7"/>
      <c r="G223" s="12"/>
      <c r="H223" s="178"/>
    </row>
    <row r="224" spans="1:8" ht="34.5" customHeight="1">
      <c r="A224" s="47"/>
      <c r="B224" s="22" t="s">
        <v>110</v>
      </c>
      <c r="C224" s="1" t="s">
        <v>41</v>
      </c>
      <c r="D224" s="18" t="s">
        <v>4</v>
      </c>
      <c r="E224" s="35">
        <f>4*1.7</f>
        <v>6.8</v>
      </c>
      <c r="F224" s="8">
        <v>0</v>
      </c>
      <c r="G224" s="12">
        <f>F224*E224</f>
        <v>0</v>
      </c>
      <c r="H224" s="90" t="s">
        <v>540</v>
      </c>
    </row>
    <row r="225" spans="1:8" s="20" customFormat="1" ht="25.5" customHeight="1">
      <c r="A225" s="26"/>
      <c r="B225" s="26" t="s">
        <v>6</v>
      </c>
      <c r="C225" s="27"/>
      <c r="D225" s="37"/>
      <c r="E225" s="29"/>
      <c r="F225" s="9"/>
      <c r="G225" s="60">
        <f>SUM(G221:G224)</f>
        <v>14907704</v>
      </c>
      <c r="H225" s="68"/>
    </row>
    <row r="226" spans="1:8" ht="108" customHeight="1">
      <c r="A226" s="48">
        <v>29</v>
      </c>
      <c r="B226" s="122" t="s">
        <v>112</v>
      </c>
      <c r="C226" s="106" t="s">
        <v>203</v>
      </c>
      <c r="D226" s="103" t="s">
        <v>4</v>
      </c>
      <c r="E226" s="117">
        <f>5.2*3</f>
        <v>15.600000000000001</v>
      </c>
      <c r="F226" s="10">
        <f>(3230000-150000-(8%*3230000))*40%</f>
        <v>1128640</v>
      </c>
      <c r="G226" s="120">
        <f>F226*E226</f>
        <v>17606784</v>
      </c>
      <c r="H226" s="170" t="s">
        <v>573</v>
      </c>
    </row>
    <row r="227" spans="1:8" ht="52.5" customHeight="1">
      <c r="A227" s="47"/>
      <c r="B227" s="22" t="s">
        <v>16</v>
      </c>
      <c r="C227" s="1" t="s">
        <v>509</v>
      </c>
      <c r="D227" s="44" t="s">
        <v>209</v>
      </c>
      <c r="E227" s="44">
        <f>3*0.9*0.1</f>
        <v>0.27</v>
      </c>
      <c r="F227" s="7">
        <f>7030000*40%</f>
        <v>2812000</v>
      </c>
      <c r="G227" s="12">
        <f>F227*E227</f>
        <v>759240</v>
      </c>
      <c r="H227" s="85" t="s">
        <v>565</v>
      </c>
    </row>
    <row r="228" spans="1:8" ht="71.25" customHeight="1">
      <c r="A228" s="47"/>
      <c r="B228" s="25" t="s">
        <v>264</v>
      </c>
      <c r="C228" s="31" t="s">
        <v>35</v>
      </c>
      <c r="D228" s="18"/>
      <c r="E228" s="35"/>
      <c r="F228" s="8"/>
      <c r="G228" s="12"/>
      <c r="H228" s="178"/>
    </row>
    <row r="229" spans="1:8" ht="34.5" customHeight="1">
      <c r="A229" s="47"/>
      <c r="B229" s="22" t="s">
        <v>113</v>
      </c>
      <c r="C229" s="3" t="s">
        <v>90</v>
      </c>
      <c r="D229" s="18" t="s">
        <v>4</v>
      </c>
      <c r="E229" s="35">
        <f>3*1.8</f>
        <v>5.4</v>
      </c>
      <c r="F229" s="8">
        <f>736000*40%</f>
        <v>294400</v>
      </c>
      <c r="G229" s="84">
        <f>F229*E229</f>
        <v>1589760</v>
      </c>
      <c r="H229" s="85" t="s">
        <v>459</v>
      </c>
    </row>
    <row r="230" spans="1:8" s="20" customFormat="1" ht="25.5" customHeight="1">
      <c r="A230" s="26"/>
      <c r="B230" s="26" t="s">
        <v>6</v>
      </c>
      <c r="C230" s="27"/>
      <c r="D230" s="37"/>
      <c r="E230" s="29"/>
      <c r="F230" s="9"/>
      <c r="G230" s="60">
        <f>SUM(G226:G229)</f>
        <v>19955784</v>
      </c>
      <c r="H230" s="68"/>
    </row>
    <row r="231" spans="1:8" ht="96" customHeight="1">
      <c r="A231" s="48">
        <v>30</v>
      </c>
      <c r="B231" s="122" t="s">
        <v>121</v>
      </c>
      <c r="C231" s="106" t="s">
        <v>123</v>
      </c>
      <c r="D231" s="103" t="s">
        <v>4</v>
      </c>
      <c r="E231" s="117">
        <f>3*6.2</f>
        <v>18.6</v>
      </c>
      <c r="F231" s="10">
        <f>(3230000-(8%*3230000))*40%</f>
        <v>1188640</v>
      </c>
      <c r="G231" s="120">
        <f>F231*E231</f>
        <v>22108704</v>
      </c>
      <c r="H231" s="173" t="s">
        <v>568</v>
      </c>
    </row>
    <row r="232" spans="1:8" ht="57" customHeight="1">
      <c r="A232" s="47"/>
      <c r="B232" s="22" t="s">
        <v>222</v>
      </c>
      <c r="C232" s="4" t="s">
        <v>510</v>
      </c>
      <c r="D232" s="44" t="s">
        <v>209</v>
      </c>
      <c r="E232" s="44">
        <f>3*0.9*0.1</f>
        <v>0.27</v>
      </c>
      <c r="F232" s="7">
        <f>7030000*40%</f>
        <v>2812000</v>
      </c>
      <c r="G232" s="12">
        <f>F232*E232</f>
        <v>759240</v>
      </c>
      <c r="H232" s="85" t="s">
        <v>565</v>
      </c>
    </row>
    <row r="233" spans="1:8" ht="63.75" customHeight="1">
      <c r="A233" s="47"/>
      <c r="B233" s="25" t="s">
        <v>265</v>
      </c>
      <c r="C233" s="31" t="s">
        <v>35</v>
      </c>
      <c r="D233" s="18"/>
      <c r="E233" s="35"/>
      <c r="F233" s="8"/>
      <c r="G233" s="12"/>
      <c r="H233" s="178"/>
    </row>
    <row r="234" spans="1:8" ht="39.75" customHeight="1">
      <c r="A234" s="47"/>
      <c r="B234" s="22" t="s">
        <v>122</v>
      </c>
      <c r="C234" s="3" t="s">
        <v>194</v>
      </c>
      <c r="D234" s="18" t="s">
        <v>4</v>
      </c>
      <c r="E234" s="35">
        <f>3*3</f>
        <v>9</v>
      </c>
      <c r="F234" s="8">
        <f>736000*40%</f>
        <v>294400</v>
      </c>
      <c r="G234" s="12">
        <f>F234*E234</f>
        <v>2649600</v>
      </c>
      <c r="H234" s="85" t="s">
        <v>459</v>
      </c>
    </row>
    <row r="235" spans="1:8" ht="33.75" customHeight="1">
      <c r="A235" s="47"/>
      <c r="B235" s="25"/>
      <c r="C235" s="3" t="s">
        <v>195</v>
      </c>
      <c r="D235" s="18" t="s">
        <v>4</v>
      </c>
      <c r="E235" s="23">
        <f>3*2</f>
        <v>6</v>
      </c>
      <c r="F235" s="8">
        <f>498000*40%</f>
        <v>199200</v>
      </c>
      <c r="G235" s="12">
        <f>F235*E235</f>
        <v>1195200</v>
      </c>
      <c r="H235" s="85" t="s">
        <v>458</v>
      </c>
    </row>
    <row r="236" spans="1:8" ht="33.75" customHeight="1">
      <c r="A236" s="47"/>
      <c r="B236" s="22"/>
      <c r="C236" s="1" t="s">
        <v>124</v>
      </c>
      <c r="D236" s="18" t="s">
        <v>45</v>
      </c>
      <c r="E236" s="23">
        <v>1</v>
      </c>
      <c r="F236" s="7">
        <v>0</v>
      </c>
      <c r="G236" s="84">
        <f>F236*E236</f>
        <v>0</v>
      </c>
      <c r="H236" s="90" t="s">
        <v>540</v>
      </c>
    </row>
    <row r="237" spans="1:8" s="20" customFormat="1" ht="25.5" customHeight="1">
      <c r="A237" s="26"/>
      <c r="B237" s="26" t="s">
        <v>6</v>
      </c>
      <c r="C237" s="27"/>
      <c r="D237" s="37"/>
      <c r="E237" s="29"/>
      <c r="F237" s="9"/>
      <c r="G237" s="60">
        <f>SUM(G231:G236)</f>
        <v>26712744</v>
      </c>
      <c r="H237" s="68"/>
    </row>
    <row r="238" spans="1:8" ht="114.75" customHeight="1">
      <c r="A238" s="48">
        <v>31</v>
      </c>
      <c r="B238" s="122" t="s">
        <v>125</v>
      </c>
      <c r="C238" s="106" t="s">
        <v>127</v>
      </c>
      <c r="D238" s="103" t="s">
        <v>4</v>
      </c>
      <c r="E238" s="117">
        <f>3*6.2</f>
        <v>18.6</v>
      </c>
      <c r="F238" s="10">
        <f>((3230000-(8%*3230000)-150000))*40%</f>
        <v>1128640</v>
      </c>
      <c r="G238" s="120">
        <f>F238*E238</f>
        <v>20992704</v>
      </c>
      <c r="H238" s="170" t="s">
        <v>574</v>
      </c>
    </row>
    <row r="239" spans="1:8" ht="64.5" customHeight="1">
      <c r="A239" s="47"/>
      <c r="B239" s="25" t="s">
        <v>349</v>
      </c>
      <c r="C239" s="1" t="s">
        <v>509</v>
      </c>
      <c r="D239" s="44" t="s">
        <v>209</v>
      </c>
      <c r="E239" s="44">
        <f>(3+3)*0.9*0.1</f>
        <v>0.54</v>
      </c>
      <c r="F239" s="7">
        <f>7030000*40%</f>
        <v>2812000</v>
      </c>
      <c r="G239" s="12">
        <f>F239*E239</f>
        <v>1518480</v>
      </c>
      <c r="H239" s="85" t="s">
        <v>565</v>
      </c>
    </row>
    <row r="240" spans="1:8" ht="29.25" customHeight="1">
      <c r="A240" s="47"/>
      <c r="B240" s="22" t="s">
        <v>126</v>
      </c>
      <c r="C240" s="31" t="s">
        <v>35</v>
      </c>
      <c r="D240" s="18"/>
      <c r="E240" s="35"/>
      <c r="F240" s="8"/>
      <c r="G240" s="12"/>
      <c r="H240" s="178"/>
    </row>
    <row r="241" spans="1:8" ht="57.75" customHeight="1">
      <c r="A241" s="47"/>
      <c r="C241" s="3" t="s">
        <v>361</v>
      </c>
      <c r="D241" s="18" t="s">
        <v>4</v>
      </c>
      <c r="E241" s="35">
        <f>4.9*2.5</f>
        <v>12.25</v>
      </c>
      <c r="F241" s="8">
        <f>498000*40%</f>
        <v>199200</v>
      </c>
      <c r="G241" s="12">
        <f>F241*E241</f>
        <v>2440200</v>
      </c>
      <c r="H241" s="85" t="s">
        <v>458</v>
      </c>
    </row>
    <row r="242" spans="1:8" ht="30.75" customHeight="1">
      <c r="A242" s="47"/>
      <c r="B242" s="22"/>
      <c r="C242" s="3" t="s">
        <v>128</v>
      </c>
      <c r="D242" s="18" t="s">
        <v>4</v>
      </c>
      <c r="E242" s="35">
        <f>3.2*2</f>
        <v>6.4</v>
      </c>
      <c r="F242" s="8">
        <v>0</v>
      </c>
      <c r="G242" s="12">
        <f>F242*E242</f>
        <v>0</v>
      </c>
      <c r="H242" s="90" t="s">
        <v>540</v>
      </c>
    </row>
    <row r="243" spans="1:8" ht="76.5" customHeight="1">
      <c r="A243" s="47"/>
      <c r="B243" s="22"/>
      <c r="C243" s="3" t="s">
        <v>129</v>
      </c>
      <c r="D243" s="18" t="s">
        <v>4</v>
      </c>
      <c r="E243" s="35">
        <f>3.2*1.3</f>
        <v>4.16</v>
      </c>
      <c r="F243" s="8">
        <f>2450000*40%</f>
        <v>980000</v>
      </c>
      <c r="G243" s="12">
        <f>F243*E243</f>
        <v>4076800</v>
      </c>
      <c r="H243" s="85" t="s">
        <v>462</v>
      </c>
    </row>
    <row r="244" spans="1:8" ht="32.25" customHeight="1">
      <c r="A244" s="47"/>
      <c r="B244" s="22"/>
      <c r="C244" s="3" t="s">
        <v>124</v>
      </c>
      <c r="D244" s="18" t="s">
        <v>45</v>
      </c>
      <c r="E244" s="35">
        <v>1</v>
      </c>
      <c r="F244" s="7">
        <v>0</v>
      </c>
      <c r="G244" s="12">
        <f>F244*E244</f>
        <v>0</v>
      </c>
      <c r="H244" s="219" t="s">
        <v>540</v>
      </c>
    </row>
    <row r="245" spans="1:8" ht="32.25" customHeight="1">
      <c r="A245" s="47"/>
      <c r="B245" s="25"/>
      <c r="C245" s="3" t="s">
        <v>82</v>
      </c>
      <c r="D245" s="18" t="s">
        <v>4</v>
      </c>
      <c r="E245" s="23">
        <f>3*2.7</f>
        <v>8.100000000000001</v>
      </c>
      <c r="F245" s="8">
        <v>0</v>
      </c>
      <c r="G245" s="84">
        <f>F245*E245</f>
        <v>0</v>
      </c>
      <c r="H245" s="204"/>
    </row>
    <row r="246" spans="1:8" s="20" customFormat="1" ht="25.5" customHeight="1">
      <c r="A246" s="26"/>
      <c r="B246" s="26" t="s">
        <v>6</v>
      </c>
      <c r="C246" s="27"/>
      <c r="D246" s="37"/>
      <c r="E246" s="29"/>
      <c r="F246" s="9"/>
      <c r="G246" s="60">
        <f>SUM(G238:G245)</f>
        <v>29028184</v>
      </c>
      <c r="H246" s="68"/>
    </row>
    <row r="247" spans="1:8" ht="99.75" customHeight="1">
      <c r="A247" s="48">
        <v>32</v>
      </c>
      <c r="B247" s="122" t="s">
        <v>130</v>
      </c>
      <c r="C247" s="106" t="s">
        <v>132</v>
      </c>
      <c r="D247" s="103" t="s">
        <v>4</v>
      </c>
      <c r="E247" s="117">
        <f>6.2*3</f>
        <v>18.6</v>
      </c>
      <c r="F247" s="10">
        <f>(3230000-(8%*3230000))*40%</f>
        <v>1188640</v>
      </c>
      <c r="G247" s="120">
        <f>F247*E247</f>
        <v>22108704</v>
      </c>
      <c r="H247" s="173" t="s">
        <v>556</v>
      </c>
    </row>
    <row r="248" spans="1:8" ht="84.75" customHeight="1">
      <c r="A248" s="47"/>
      <c r="B248" s="25" t="s">
        <v>350</v>
      </c>
      <c r="C248" s="4" t="s">
        <v>510</v>
      </c>
      <c r="D248" s="44" t="s">
        <v>209</v>
      </c>
      <c r="E248" s="32">
        <f>(3+3)*0.9*0.1</f>
        <v>0.54</v>
      </c>
      <c r="F248" s="7">
        <f>7030000*40%</f>
        <v>2812000</v>
      </c>
      <c r="G248" s="12">
        <f>F248*E248</f>
        <v>1518480</v>
      </c>
      <c r="H248" s="85" t="s">
        <v>565</v>
      </c>
    </row>
    <row r="249" spans="1:8" ht="32.25" customHeight="1">
      <c r="A249" s="47"/>
      <c r="B249" s="22" t="s">
        <v>131</v>
      </c>
      <c r="C249" s="31" t="s">
        <v>35</v>
      </c>
      <c r="D249" s="95"/>
      <c r="E249" s="32"/>
      <c r="F249" s="8"/>
      <c r="G249" s="12"/>
      <c r="H249" s="178"/>
    </row>
    <row r="250" spans="1:8" ht="67.5" customHeight="1">
      <c r="A250" s="47"/>
      <c r="C250" s="1" t="s">
        <v>508</v>
      </c>
      <c r="D250" s="18" t="s">
        <v>4</v>
      </c>
      <c r="E250" s="44">
        <f>3*3</f>
        <v>9</v>
      </c>
      <c r="F250" s="8">
        <f>(3230000-(8%*3230000))*40%</f>
        <v>1188640</v>
      </c>
      <c r="G250" s="12">
        <f>F250*E250</f>
        <v>10697760</v>
      </c>
      <c r="H250" s="72" t="s">
        <v>463</v>
      </c>
    </row>
    <row r="251" spans="1:8" ht="37.5" customHeight="1">
      <c r="A251" s="47"/>
      <c r="B251" s="22"/>
      <c r="C251" s="100" t="s">
        <v>7</v>
      </c>
      <c r="D251" s="18" t="s">
        <v>4</v>
      </c>
      <c r="E251" s="94">
        <f>3*1.8</f>
        <v>5.4</v>
      </c>
      <c r="F251" s="8">
        <f>498000*40%</f>
        <v>199200</v>
      </c>
      <c r="G251" s="12">
        <f>F251*E251</f>
        <v>1075680</v>
      </c>
      <c r="H251" s="85" t="s">
        <v>458</v>
      </c>
    </row>
    <row r="252" spans="1:8" ht="34.5" customHeight="1">
      <c r="A252" s="47"/>
      <c r="B252" s="22"/>
      <c r="C252" s="1" t="s">
        <v>41</v>
      </c>
      <c r="D252" s="18" t="s">
        <v>4</v>
      </c>
      <c r="E252" s="35">
        <f>3*2.7</f>
        <v>8.100000000000001</v>
      </c>
      <c r="F252" s="8">
        <v>0</v>
      </c>
      <c r="G252" s="12">
        <f>F252*E252</f>
        <v>0</v>
      </c>
      <c r="H252" s="219" t="s">
        <v>540</v>
      </c>
    </row>
    <row r="253" spans="1:8" ht="34.5" customHeight="1">
      <c r="A253" s="47"/>
      <c r="B253" s="22"/>
      <c r="C253" s="3" t="s">
        <v>124</v>
      </c>
      <c r="D253" s="18" t="s">
        <v>45</v>
      </c>
      <c r="E253" s="35">
        <v>1</v>
      </c>
      <c r="F253" s="7">
        <v>0</v>
      </c>
      <c r="G253" s="84">
        <f>F253*E253</f>
        <v>0</v>
      </c>
      <c r="H253" s="204"/>
    </row>
    <row r="254" spans="1:8" s="20" customFormat="1" ht="25.5" customHeight="1">
      <c r="A254" s="26"/>
      <c r="B254" s="26" t="s">
        <v>6</v>
      </c>
      <c r="C254" s="27"/>
      <c r="D254" s="37"/>
      <c r="E254" s="29"/>
      <c r="F254" s="9"/>
      <c r="G254" s="60">
        <f>SUM(G247:G253)</f>
        <v>35400624</v>
      </c>
      <c r="H254" s="68"/>
    </row>
    <row r="255" spans="1:8" ht="115.5" customHeight="1">
      <c r="A255" s="2">
        <v>33</v>
      </c>
      <c r="B255" s="64" t="s">
        <v>133</v>
      </c>
      <c r="C255" s="5" t="s">
        <v>77</v>
      </c>
      <c r="D255" s="103" t="s">
        <v>4</v>
      </c>
      <c r="E255" s="126">
        <f>6.2*3</f>
        <v>18.6</v>
      </c>
      <c r="F255" s="10">
        <f>(3230000-(3230000*8%)-150000)*40%</f>
        <v>1128640</v>
      </c>
      <c r="G255" s="84">
        <f>F255*E255</f>
        <v>20992704</v>
      </c>
      <c r="H255" s="127" t="s">
        <v>575</v>
      </c>
    </row>
    <row r="256" spans="1:8" ht="57" customHeight="1">
      <c r="A256" s="47"/>
      <c r="B256" s="57" t="s">
        <v>135</v>
      </c>
      <c r="C256" s="4" t="s">
        <v>510</v>
      </c>
      <c r="D256" s="44" t="s">
        <v>209</v>
      </c>
      <c r="E256" s="23">
        <f>0.9*3*0.1</f>
        <v>0.27</v>
      </c>
      <c r="F256" s="7">
        <f>7030000*40%</f>
        <v>2812000</v>
      </c>
      <c r="G256" s="12">
        <f>F256*E256</f>
        <v>759240</v>
      </c>
      <c r="H256" s="85" t="s">
        <v>565</v>
      </c>
    </row>
    <row r="257" spans="1:8" ht="100.5" customHeight="1">
      <c r="A257" s="49"/>
      <c r="B257" s="25" t="s">
        <v>266</v>
      </c>
      <c r="C257" s="55" t="s">
        <v>136</v>
      </c>
      <c r="D257" s="103" t="s">
        <v>4</v>
      </c>
      <c r="E257" s="56">
        <f>6.2*3</f>
        <v>18.6</v>
      </c>
      <c r="F257" s="10">
        <f>(3230000-(8%*3230000))*40%</f>
        <v>1188640</v>
      </c>
      <c r="G257" s="84">
        <f>F257*E257</f>
        <v>22108704</v>
      </c>
      <c r="H257" s="174" t="s">
        <v>576</v>
      </c>
    </row>
    <row r="258" spans="1:8" ht="57" customHeight="1">
      <c r="A258" s="47"/>
      <c r="B258" s="125" t="s">
        <v>134</v>
      </c>
      <c r="C258" s="1" t="s">
        <v>510</v>
      </c>
      <c r="D258" s="44" t="s">
        <v>209</v>
      </c>
      <c r="E258" s="23">
        <f>(3+3)*0.9*0.1</f>
        <v>0.54</v>
      </c>
      <c r="F258" s="7">
        <f>7030000*40%</f>
        <v>2812000</v>
      </c>
      <c r="G258" s="12">
        <f>F258*E258</f>
        <v>1518480</v>
      </c>
      <c r="H258" s="85" t="s">
        <v>565</v>
      </c>
    </row>
    <row r="259" spans="1:8" ht="25.5" customHeight="1">
      <c r="A259" s="47"/>
      <c r="B259" s="25"/>
      <c r="C259" s="99" t="s">
        <v>35</v>
      </c>
      <c r="D259" s="18"/>
      <c r="E259" s="23"/>
      <c r="F259" s="8"/>
      <c r="G259" s="12"/>
      <c r="H259" s="178"/>
    </row>
    <row r="260" spans="1:8" ht="51.75" customHeight="1">
      <c r="A260" s="47"/>
      <c r="B260" s="25"/>
      <c r="C260" s="3" t="s">
        <v>368</v>
      </c>
      <c r="D260" s="18" t="s">
        <v>4</v>
      </c>
      <c r="E260" s="23">
        <f>1.8*3</f>
        <v>5.4</v>
      </c>
      <c r="F260" s="8">
        <f>821000*40%</f>
        <v>328400</v>
      </c>
      <c r="G260" s="12">
        <f>F260*E260</f>
        <v>1773360.0000000002</v>
      </c>
      <c r="H260" s="85" t="s">
        <v>460</v>
      </c>
    </row>
    <row r="261" spans="1:8" ht="44.25" customHeight="1">
      <c r="A261" s="47"/>
      <c r="B261" s="25"/>
      <c r="C261" s="3" t="s">
        <v>7</v>
      </c>
      <c r="D261" s="18" t="s">
        <v>4</v>
      </c>
      <c r="E261" s="23">
        <f>4.4*3</f>
        <v>13.200000000000001</v>
      </c>
      <c r="F261" s="8">
        <f>498000*40%</f>
        <v>199200</v>
      </c>
      <c r="G261" s="12">
        <f>F261*E261</f>
        <v>2629440</v>
      </c>
      <c r="H261" s="85" t="s">
        <v>458</v>
      </c>
    </row>
    <row r="262" spans="1:8" ht="35.25" customHeight="1">
      <c r="A262" s="47"/>
      <c r="B262" s="25"/>
      <c r="C262" s="3" t="s">
        <v>41</v>
      </c>
      <c r="D262" s="18" t="s">
        <v>4</v>
      </c>
      <c r="E262" s="23">
        <f>3*2.7</f>
        <v>8.100000000000001</v>
      </c>
      <c r="F262" s="8">
        <v>0</v>
      </c>
      <c r="G262" s="12">
        <f>F262*E262</f>
        <v>0</v>
      </c>
      <c r="H262" s="90" t="s">
        <v>540</v>
      </c>
    </row>
    <row r="263" spans="1:8" ht="33.75" customHeight="1">
      <c r="A263" s="47"/>
      <c r="B263" s="25"/>
      <c r="C263" s="3" t="s">
        <v>124</v>
      </c>
      <c r="D263" s="18" t="s">
        <v>45</v>
      </c>
      <c r="E263" s="23">
        <v>1</v>
      </c>
      <c r="F263" s="7">
        <v>0</v>
      </c>
      <c r="G263" s="84">
        <f>F263*E263</f>
        <v>0</v>
      </c>
      <c r="H263" s="90" t="s">
        <v>540</v>
      </c>
    </row>
    <row r="264" spans="1:8" s="20" customFormat="1" ht="25.5" customHeight="1">
      <c r="A264" s="26"/>
      <c r="B264" s="26" t="s">
        <v>6</v>
      </c>
      <c r="C264" s="27"/>
      <c r="D264" s="37"/>
      <c r="E264" s="29"/>
      <c r="F264" s="9"/>
      <c r="G264" s="60">
        <f>SUM(G255:G263)</f>
        <v>49781928</v>
      </c>
      <c r="H264" s="68"/>
    </row>
    <row r="265" spans="1:8" ht="115.5" customHeight="1">
      <c r="A265" s="48">
        <v>34</v>
      </c>
      <c r="B265" s="122" t="s">
        <v>137</v>
      </c>
      <c r="C265" s="106" t="s">
        <v>140</v>
      </c>
      <c r="D265" s="103" t="s">
        <v>4</v>
      </c>
      <c r="E265" s="117">
        <f>6*3.2</f>
        <v>19.200000000000003</v>
      </c>
      <c r="F265" s="10">
        <f>(3230000-(3230000*8%)-150000)*40%</f>
        <v>1128640</v>
      </c>
      <c r="G265" s="120">
        <f>F265*E265</f>
        <v>21669888.000000004</v>
      </c>
      <c r="H265" s="127" t="s">
        <v>577</v>
      </c>
    </row>
    <row r="266" spans="1:8" ht="57" customHeight="1">
      <c r="A266" s="47"/>
      <c r="B266" s="138" t="s">
        <v>138</v>
      </c>
      <c r="C266" s="1" t="s">
        <v>509</v>
      </c>
      <c r="D266" s="44" t="s">
        <v>209</v>
      </c>
      <c r="E266" s="102">
        <f>(6+3.2+3.2)*0.9*0.1</f>
        <v>1.1159999999999999</v>
      </c>
      <c r="F266" s="7">
        <f>7030000*40%</f>
        <v>2812000</v>
      </c>
      <c r="G266" s="12">
        <f>F266*E266</f>
        <v>3138191.9999999995</v>
      </c>
      <c r="H266" s="85" t="s">
        <v>565</v>
      </c>
    </row>
    <row r="267" spans="1:8" ht="25.5" customHeight="1">
      <c r="A267" s="47"/>
      <c r="B267" s="83" t="s">
        <v>16</v>
      </c>
      <c r="C267" s="89" t="s">
        <v>35</v>
      </c>
      <c r="D267" s="18"/>
      <c r="E267" s="44"/>
      <c r="F267" s="7"/>
      <c r="G267" s="12"/>
      <c r="H267" s="178"/>
    </row>
    <row r="268" spans="1:8" ht="40.5" customHeight="1">
      <c r="A268" s="47"/>
      <c r="B268" s="25" t="s">
        <v>347</v>
      </c>
      <c r="C268" s="1" t="s">
        <v>7</v>
      </c>
      <c r="D268" s="18" t="s">
        <v>4</v>
      </c>
      <c r="E268" s="35">
        <f>(1.6*6)+(3.2*1.6)+(2.4*4.8)</f>
        <v>26.240000000000002</v>
      </c>
      <c r="F268" s="8">
        <f>498000*40%</f>
        <v>199200</v>
      </c>
      <c r="G268" s="12">
        <f>F268*E268</f>
        <v>5227008</v>
      </c>
      <c r="H268" s="85" t="s">
        <v>458</v>
      </c>
    </row>
    <row r="269" spans="1:8" ht="40.5" customHeight="1">
      <c r="A269" s="47"/>
      <c r="B269" s="22" t="s">
        <v>139</v>
      </c>
      <c r="C269" s="3" t="s">
        <v>196</v>
      </c>
      <c r="D269" s="18" t="s">
        <v>4</v>
      </c>
      <c r="E269" s="35">
        <f>3.6*1.5</f>
        <v>5.4</v>
      </c>
      <c r="F269" s="8">
        <f>150000*40%</f>
        <v>60000</v>
      </c>
      <c r="G269" s="12">
        <f>F269*E269</f>
        <v>324000</v>
      </c>
      <c r="H269" s="85" t="s">
        <v>461</v>
      </c>
    </row>
    <row r="270" spans="1:8" ht="32.25" customHeight="1">
      <c r="A270" s="47"/>
      <c r="B270" s="25"/>
      <c r="C270" s="3" t="s">
        <v>41</v>
      </c>
      <c r="D270" s="18" t="s">
        <v>4</v>
      </c>
      <c r="E270" s="23">
        <f>3.2*2.7</f>
        <v>8.64</v>
      </c>
      <c r="F270" s="8">
        <v>0</v>
      </c>
      <c r="G270" s="84">
        <f>F270*E270</f>
        <v>0</v>
      </c>
      <c r="H270" s="90" t="s">
        <v>540</v>
      </c>
    </row>
    <row r="271" spans="1:8" s="20" customFormat="1" ht="19.5" customHeight="1">
      <c r="A271" s="26"/>
      <c r="B271" s="26" t="s">
        <v>6</v>
      </c>
      <c r="C271" s="27"/>
      <c r="D271" s="37"/>
      <c r="E271" s="29"/>
      <c r="F271" s="9"/>
      <c r="G271" s="60">
        <f>SUM(G265:G270)</f>
        <v>30359088.000000004</v>
      </c>
      <c r="H271" s="68"/>
    </row>
    <row r="272" spans="1:8" ht="23.25" customHeight="1">
      <c r="A272" s="2">
        <v>35</v>
      </c>
      <c r="B272" s="64" t="s">
        <v>141</v>
      </c>
      <c r="C272" s="91" t="s">
        <v>35</v>
      </c>
      <c r="D272" s="18"/>
      <c r="E272" s="65"/>
      <c r="F272" s="8"/>
      <c r="G272" s="13"/>
      <c r="H272" s="178"/>
    </row>
    <row r="273" spans="1:8" ht="60" customHeight="1">
      <c r="A273" s="47"/>
      <c r="B273" s="25" t="s">
        <v>267</v>
      </c>
      <c r="C273" s="4" t="s">
        <v>143</v>
      </c>
      <c r="D273" s="18" t="s">
        <v>4</v>
      </c>
      <c r="E273" s="44">
        <f>3*6</f>
        <v>18</v>
      </c>
      <c r="F273" s="7">
        <f>821000*40%</f>
        <v>328400</v>
      </c>
      <c r="G273" s="12">
        <f>F273*E273</f>
        <v>5911200</v>
      </c>
      <c r="H273" s="85" t="s">
        <v>460</v>
      </c>
    </row>
    <row r="274" spans="1:8" ht="38.25" customHeight="1">
      <c r="A274" s="47"/>
      <c r="B274" s="22" t="s">
        <v>142</v>
      </c>
      <c r="C274" s="1" t="s">
        <v>144</v>
      </c>
      <c r="D274" s="18" t="s">
        <v>4</v>
      </c>
      <c r="E274" s="35">
        <f>6*1</f>
        <v>6</v>
      </c>
      <c r="F274" s="8">
        <f>498000*40%</f>
        <v>199200</v>
      </c>
      <c r="G274" s="12">
        <f>F274*E274</f>
        <v>1195200</v>
      </c>
      <c r="H274" s="85" t="s">
        <v>458</v>
      </c>
    </row>
    <row r="275" spans="1:8" ht="30.75" customHeight="1">
      <c r="A275" s="47"/>
      <c r="B275" s="22"/>
      <c r="C275" s="3" t="s">
        <v>41</v>
      </c>
      <c r="D275" s="18" t="s">
        <v>4</v>
      </c>
      <c r="E275" s="35">
        <f>6*2.7</f>
        <v>16.200000000000003</v>
      </c>
      <c r="F275" s="8">
        <v>0</v>
      </c>
      <c r="G275" s="84">
        <f>F275*E275</f>
        <v>0</v>
      </c>
      <c r="H275" s="90" t="s">
        <v>540</v>
      </c>
    </row>
    <row r="276" spans="1:8" s="20" customFormat="1" ht="25.5" customHeight="1">
      <c r="A276" s="26"/>
      <c r="B276" s="26" t="s">
        <v>6</v>
      </c>
      <c r="C276" s="27"/>
      <c r="D276" s="37"/>
      <c r="E276" s="29"/>
      <c r="F276" s="9"/>
      <c r="G276" s="60">
        <f>SUM(G272:G275)</f>
        <v>7106400</v>
      </c>
      <c r="H276" s="68"/>
    </row>
    <row r="277" spans="1:8" ht="96.75" customHeight="1">
      <c r="A277" s="48">
        <v>36</v>
      </c>
      <c r="B277" s="122" t="s">
        <v>145</v>
      </c>
      <c r="C277" s="106" t="s">
        <v>578</v>
      </c>
      <c r="D277" s="103" t="s">
        <v>4</v>
      </c>
      <c r="E277" s="117">
        <f>3*6</f>
        <v>18</v>
      </c>
      <c r="F277" s="10">
        <f>(3230000-(8%*3230000))*40%</f>
        <v>1188640</v>
      </c>
      <c r="G277" s="120">
        <f>F277*E277</f>
        <v>21395520</v>
      </c>
      <c r="H277" s="174" t="s">
        <v>579</v>
      </c>
    </row>
    <row r="278" spans="1:8" ht="62.25" customHeight="1">
      <c r="A278" s="47"/>
      <c r="B278" s="25" t="s">
        <v>268</v>
      </c>
      <c r="C278" s="1" t="s">
        <v>510</v>
      </c>
      <c r="D278" s="44" t="s">
        <v>209</v>
      </c>
      <c r="E278" s="23">
        <f>3*0.9*0.1</f>
        <v>0.27</v>
      </c>
      <c r="F278" s="7">
        <f>7030000*40%</f>
        <v>2812000</v>
      </c>
      <c r="G278" s="12">
        <f>F278*E278</f>
        <v>759240</v>
      </c>
      <c r="H278" s="85" t="s">
        <v>565</v>
      </c>
    </row>
    <row r="279" spans="1:8" ht="20.25" customHeight="1">
      <c r="A279" s="47"/>
      <c r="B279" s="22" t="s">
        <v>146</v>
      </c>
      <c r="C279" s="99" t="s">
        <v>35</v>
      </c>
      <c r="D279" s="18"/>
      <c r="E279" s="35"/>
      <c r="F279" s="8"/>
      <c r="G279" s="12"/>
      <c r="H279" s="178"/>
    </row>
    <row r="280" spans="1:8" ht="33" customHeight="1">
      <c r="A280" s="47"/>
      <c r="B280" s="22"/>
      <c r="C280" s="4" t="s">
        <v>513</v>
      </c>
      <c r="D280" s="18" t="s">
        <v>4</v>
      </c>
      <c r="E280" s="44">
        <f>3*2</f>
        <v>6</v>
      </c>
      <c r="F280" s="7">
        <v>0</v>
      </c>
      <c r="G280" s="12">
        <f>F280*E280</f>
        <v>0</v>
      </c>
      <c r="H280" s="90" t="s">
        <v>540</v>
      </c>
    </row>
    <row r="281" spans="1:8" ht="60.75" customHeight="1">
      <c r="A281" s="47"/>
      <c r="B281" s="22"/>
      <c r="C281" s="3" t="s">
        <v>233</v>
      </c>
      <c r="D281" s="18" t="s">
        <v>4</v>
      </c>
      <c r="E281" s="35">
        <f>2*3</f>
        <v>6</v>
      </c>
      <c r="F281" s="8">
        <f>(3230000-(3230000*8%))*40%</f>
        <v>1188640</v>
      </c>
      <c r="G281" s="12">
        <f>F281*E281</f>
        <v>7131840</v>
      </c>
      <c r="H281" s="72" t="s">
        <v>464</v>
      </c>
    </row>
    <row r="282" spans="1:8" ht="40.5" customHeight="1">
      <c r="A282" s="47"/>
      <c r="B282" s="22"/>
      <c r="C282" s="3" t="s">
        <v>7</v>
      </c>
      <c r="D282" s="18" t="s">
        <v>4</v>
      </c>
      <c r="E282" s="35">
        <f>3.4*3</f>
        <v>10.2</v>
      </c>
      <c r="F282" s="8">
        <f>498000*40%</f>
        <v>199200</v>
      </c>
      <c r="G282" s="84">
        <f>F282*E282</f>
        <v>2031839.9999999998</v>
      </c>
      <c r="H282" s="85" t="s">
        <v>458</v>
      </c>
    </row>
    <row r="283" spans="1:8" s="20" customFormat="1" ht="25.5" customHeight="1">
      <c r="A283" s="26"/>
      <c r="B283" s="26" t="s">
        <v>6</v>
      </c>
      <c r="C283" s="27"/>
      <c r="D283" s="37"/>
      <c r="E283" s="29"/>
      <c r="F283" s="9"/>
      <c r="G283" s="60">
        <f>SUM(G277:G282)</f>
        <v>31318440</v>
      </c>
      <c r="H283" s="68"/>
    </row>
    <row r="284" spans="1:8" ht="97.5" customHeight="1">
      <c r="A284" s="48">
        <v>37</v>
      </c>
      <c r="B284" s="122" t="s">
        <v>514</v>
      </c>
      <c r="C284" s="106" t="s">
        <v>580</v>
      </c>
      <c r="D284" s="103" t="s">
        <v>4</v>
      </c>
      <c r="E284" s="117">
        <f>3*6</f>
        <v>18</v>
      </c>
      <c r="F284" s="10">
        <f>(3230000-(3230000*8%))*40%</f>
        <v>1188640</v>
      </c>
      <c r="G284" s="120">
        <f>F284*E284</f>
        <v>21395520</v>
      </c>
      <c r="H284" s="174" t="s">
        <v>576</v>
      </c>
    </row>
    <row r="285" spans="1:8" ht="63.75" customHeight="1">
      <c r="A285" s="47"/>
      <c r="B285" s="33" t="s">
        <v>269</v>
      </c>
      <c r="C285" s="1" t="s">
        <v>512</v>
      </c>
      <c r="D285" s="44" t="s">
        <v>209</v>
      </c>
      <c r="E285" s="23">
        <f>0.9*3*0.1</f>
        <v>0.27</v>
      </c>
      <c r="F285" s="7">
        <f>7030000*40%</f>
        <v>2812000</v>
      </c>
      <c r="G285" s="12">
        <f>F285*E285</f>
        <v>759240</v>
      </c>
      <c r="H285" s="85" t="s">
        <v>565</v>
      </c>
    </row>
    <row r="286" spans="1:8" ht="22.5" customHeight="1">
      <c r="A286" s="47"/>
      <c r="B286" s="25" t="s">
        <v>89</v>
      </c>
      <c r="C286" s="99" t="s">
        <v>35</v>
      </c>
      <c r="D286" s="18"/>
      <c r="E286" s="35"/>
      <c r="F286" s="8"/>
      <c r="G286" s="12"/>
      <c r="H286" s="178"/>
    </row>
    <row r="287" spans="1:8" ht="45" customHeight="1">
      <c r="A287" s="47"/>
      <c r="B287" s="25"/>
      <c r="C287" s="4" t="s">
        <v>90</v>
      </c>
      <c r="D287" s="18" t="s">
        <v>4</v>
      </c>
      <c r="E287" s="44">
        <f>3*3</f>
        <v>9</v>
      </c>
      <c r="F287" s="8">
        <f>736000*40%</f>
        <v>294400</v>
      </c>
      <c r="G287" s="12">
        <f>F287*E287</f>
        <v>2649600</v>
      </c>
      <c r="H287" s="85" t="s">
        <v>459</v>
      </c>
    </row>
    <row r="288" spans="1:8" ht="53.25" customHeight="1">
      <c r="A288" s="47"/>
      <c r="B288" s="25"/>
      <c r="C288" s="3" t="s">
        <v>362</v>
      </c>
      <c r="D288" s="18" t="s">
        <v>4</v>
      </c>
      <c r="E288" s="23">
        <f>2*3</f>
        <v>6</v>
      </c>
      <c r="F288" s="8">
        <f>(3230000-160000)*40%</f>
        <v>1228000</v>
      </c>
      <c r="G288" s="84">
        <f>F288*E288</f>
        <v>7368000</v>
      </c>
      <c r="H288" s="72" t="s">
        <v>465</v>
      </c>
    </row>
    <row r="289" spans="1:8" s="20" customFormat="1" ht="25.5" customHeight="1">
      <c r="A289" s="26"/>
      <c r="B289" s="26" t="s">
        <v>6</v>
      </c>
      <c r="C289" s="27"/>
      <c r="D289" s="37"/>
      <c r="E289" s="29"/>
      <c r="F289" s="9"/>
      <c r="G289" s="60">
        <f>SUM(G284:G288)</f>
        <v>32172360</v>
      </c>
      <c r="H289" s="68"/>
    </row>
    <row r="290" spans="1:8" ht="101.25" customHeight="1">
      <c r="A290" s="48">
        <v>38</v>
      </c>
      <c r="B290" s="122" t="s">
        <v>147</v>
      </c>
      <c r="C290" s="106" t="s">
        <v>150</v>
      </c>
      <c r="D290" s="103" t="s">
        <v>4</v>
      </c>
      <c r="E290" s="117">
        <f>3*6</f>
        <v>18</v>
      </c>
      <c r="F290" s="10">
        <f>(3230000-(8%*3230000))*40%</f>
        <v>1188640</v>
      </c>
      <c r="G290" s="120">
        <f>F290*E290</f>
        <v>21395520</v>
      </c>
      <c r="H290" s="174" t="s">
        <v>576</v>
      </c>
    </row>
    <row r="291" spans="1:8" ht="57" customHeight="1">
      <c r="A291" s="47"/>
      <c r="B291" s="22" t="s">
        <v>148</v>
      </c>
      <c r="C291" s="4" t="s">
        <v>511</v>
      </c>
      <c r="D291" s="44" t="s">
        <v>209</v>
      </c>
      <c r="E291" s="44">
        <f>3*0.9*0.1</f>
        <v>0.27</v>
      </c>
      <c r="F291" s="7">
        <f>7030000*40%</f>
        <v>2812000</v>
      </c>
      <c r="G291" s="12">
        <f>F291*E291</f>
        <v>759240</v>
      </c>
      <c r="H291" s="85" t="s">
        <v>565</v>
      </c>
    </row>
    <row r="292" spans="1:8" ht="64.5" customHeight="1">
      <c r="A292" s="47"/>
      <c r="B292" s="25" t="s">
        <v>270</v>
      </c>
      <c r="C292" s="31" t="s">
        <v>35</v>
      </c>
      <c r="D292" s="18"/>
      <c r="E292" s="35"/>
      <c r="F292" s="8"/>
      <c r="G292" s="12"/>
      <c r="H292" s="178"/>
    </row>
    <row r="293" spans="1:8" ht="22.5" customHeight="1">
      <c r="A293" s="47"/>
      <c r="B293" s="22" t="s">
        <v>149</v>
      </c>
      <c r="C293" s="3" t="s">
        <v>151</v>
      </c>
      <c r="D293" s="18" t="s">
        <v>4</v>
      </c>
      <c r="E293" s="35">
        <f>3*3</f>
        <v>9</v>
      </c>
      <c r="F293" s="8">
        <f>230000*40%</f>
        <v>92000</v>
      </c>
      <c r="G293" s="12">
        <f>F293*E293</f>
        <v>828000</v>
      </c>
      <c r="H293" s="85" t="s">
        <v>466</v>
      </c>
    </row>
    <row r="294" spans="1:8" ht="55.5" customHeight="1">
      <c r="A294" s="47"/>
      <c r="B294" s="22"/>
      <c r="C294" s="3" t="s">
        <v>152</v>
      </c>
      <c r="D294" s="18" t="s">
        <v>4</v>
      </c>
      <c r="E294" s="35">
        <f>3*4</f>
        <v>12</v>
      </c>
      <c r="F294" s="8">
        <f>498000*40%</f>
        <v>199200</v>
      </c>
      <c r="G294" s="12">
        <f>F294*E294</f>
        <v>2390400</v>
      </c>
      <c r="H294" s="85" t="s">
        <v>458</v>
      </c>
    </row>
    <row r="295" spans="1:8" ht="60.75" customHeight="1">
      <c r="A295" s="47"/>
      <c r="B295" s="25"/>
      <c r="C295" s="3" t="s">
        <v>234</v>
      </c>
      <c r="D295" s="18" t="s">
        <v>4</v>
      </c>
      <c r="E295" s="23">
        <f>3*2</f>
        <v>6</v>
      </c>
      <c r="F295" s="8">
        <f>3230000*40%</f>
        <v>1292000</v>
      </c>
      <c r="G295" s="84">
        <f>F295*E295</f>
        <v>7752000</v>
      </c>
      <c r="H295" s="85" t="s">
        <v>467</v>
      </c>
    </row>
    <row r="296" spans="1:8" s="20" customFormat="1" ht="25.5" customHeight="1">
      <c r="A296" s="26"/>
      <c r="B296" s="26" t="s">
        <v>6</v>
      </c>
      <c r="C296" s="27"/>
      <c r="D296" s="37"/>
      <c r="E296" s="29"/>
      <c r="F296" s="9"/>
      <c r="G296" s="60">
        <f>SUM(G290:G295)</f>
        <v>33125160</v>
      </c>
      <c r="H296" s="68"/>
    </row>
    <row r="297" spans="1:8" ht="99" customHeight="1">
      <c r="A297" s="48">
        <v>39</v>
      </c>
      <c r="B297" s="122" t="s">
        <v>153</v>
      </c>
      <c r="C297" s="106" t="s">
        <v>155</v>
      </c>
      <c r="D297" s="103" t="s">
        <v>4</v>
      </c>
      <c r="E297" s="117">
        <f>3*6</f>
        <v>18</v>
      </c>
      <c r="F297" s="10">
        <f>(3230000-(8%*3230000))*40%</f>
        <v>1188640</v>
      </c>
      <c r="G297" s="120">
        <f>F297*E297</f>
        <v>21395520</v>
      </c>
      <c r="H297" s="174" t="s">
        <v>581</v>
      </c>
    </row>
    <row r="298" spans="1:8" ht="57" customHeight="1">
      <c r="A298" s="47"/>
      <c r="B298" s="25" t="s">
        <v>271</v>
      </c>
      <c r="C298" s="4" t="s">
        <v>509</v>
      </c>
      <c r="D298" s="44" t="s">
        <v>209</v>
      </c>
      <c r="E298" s="44">
        <f>3*0.9*0.1</f>
        <v>0.27</v>
      </c>
      <c r="F298" s="7">
        <f>7030000*40%</f>
        <v>2812000</v>
      </c>
      <c r="G298" s="12">
        <f>F298*E298</f>
        <v>759240</v>
      </c>
      <c r="H298" s="85" t="s">
        <v>565</v>
      </c>
    </row>
    <row r="299" spans="1:8" ht="27" customHeight="1">
      <c r="A299" s="47"/>
      <c r="B299" s="22" t="s">
        <v>154</v>
      </c>
      <c r="C299" s="31" t="s">
        <v>35</v>
      </c>
      <c r="D299" s="18"/>
      <c r="E299" s="35"/>
      <c r="F299" s="8"/>
      <c r="G299" s="12"/>
      <c r="H299" s="178"/>
    </row>
    <row r="300" spans="1:8" ht="80.25" customHeight="1">
      <c r="A300" s="47"/>
      <c r="B300" s="22"/>
      <c r="C300" s="3" t="s">
        <v>156</v>
      </c>
      <c r="D300" s="18" t="s">
        <v>4</v>
      </c>
      <c r="E300" s="35">
        <f>3*2</f>
        <v>6</v>
      </c>
      <c r="F300" s="8">
        <f>821000*40%</f>
        <v>328400</v>
      </c>
      <c r="G300" s="12">
        <f>F300*E300</f>
        <v>1970400</v>
      </c>
      <c r="H300" s="85" t="s">
        <v>460</v>
      </c>
    </row>
    <row r="301" spans="1:8" ht="51" customHeight="1">
      <c r="A301" s="47"/>
      <c r="B301" s="25"/>
      <c r="C301" s="3" t="s">
        <v>157</v>
      </c>
      <c r="D301" s="18" t="s">
        <v>4</v>
      </c>
      <c r="E301" s="23">
        <f>3*5.7</f>
        <v>17.1</v>
      </c>
      <c r="F301" s="8">
        <f>736000*40%</f>
        <v>294400</v>
      </c>
      <c r="G301" s="84">
        <f>F301*E301</f>
        <v>5034240</v>
      </c>
      <c r="H301" s="85" t="s">
        <v>459</v>
      </c>
    </row>
    <row r="302" spans="1:8" s="20" customFormat="1" ht="25.5" customHeight="1">
      <c r="A302" s="26"/>
      <c r="B302" s="26" t="s">
        <v>6</v>
      </c>
      <c r="C302" s="27"/>
      <c r="D302" s="37"/>
      <c r="E302" s="29"/>
      <c r="F302" s="9"/>
      <c r="G302" s="60">
        <f>SUM(G297:G301)</f>
        <v>29159400</v>
      </c>
      <c r="H302" s="68"/>
    </row>
    <row r="303" spans="1:8" s="20" customFormat="1" ht="30" customHeight="1">
      <c r="A303" s="16">
        <v>40</v>
      </c>
      <c r="B303" s="101" t="s">
        <v>158</v>
      </c>
      <c r="C303" s="31" t="s">
        <v>35</v>
      </c>
      <c r="D303" s="18"/>
      <c r="E303" s="35"/>
      <c r="F303" s="8"/>
      <c r="G303" s="12"/>
      <c r="H303" s="178"/>
    </row>
    <row r="304" spans="1:8" ht="70.5" customHeight="1">
      <c r="A304" s="47"/>
      <c r="B304" s="22" t="s">
        <v>160</v>
      </c>
      <c r="C304" s="1" t="s">
        <v>161</v>
      </c>
      <c r="D304" s="32" t="s">
        <v>4</v>
      </c>
      <c r="E304" s="102">
        <f>4*8</f>
        <v>32</v>
      </c>
      <c r="F304" s="7">
        <f>821000*40%</f>
        <v>328400</v>
      </c>
      <c r="G304" s="12">
        <f>F304*E304</f>
        <v>10508800</v>
      </c>
      <c r="H304" s="85" t="s">
        <v>460</v>
      </c>
    </row>
    <row r="305" spans="1:8" ht="55.5" customHeight="1">
      <c r="A305" s="47"/>
      <c r="B305" s="25" t="s">
        <v>272</v>
      </c>
      <c r="C305" s="4" t="s">
        <v>55</v>
      </c>
      <c r="D305" s="18" t="s">
        <v>4</v>
      </c>
      <c r="E305" s="44">
        <f>3.7*2.2</f>
        <v>8.14</v>
      </c>
      <c r="F305" s="8">
        <f>736000*40%</f>
        <v>294400</v>
      </c>
      <c r="G305" s="12">
        <f>F305*E305</f>
        <v>2396416</v>
      </c>
      <c r="H305" s="85" t="s">
        <v>459</v>
      </c>
    </row>
    <row r="306" spans="1:8" ht="57.75" customHeight="1">
      <c r="A306" s="47"/>
      <c r="B306" s="33" t="s">
        <v>159</v>
      </c>
      <c r="C306" s="1" t="s">
        <v>191</v>
      </c>
      <c r="D306" s="18" t="s">
        <v>4</v>
      </c>
      <c r="E306" s="35">
        <f>1.7*1.7</f>
        <v>2.8899999999999997</v>
      </c>
      <c r="F306" s="8">
        <f>2450000*40%</f>
        <v>980000</v>
      </c>
      <c r="G306" s="12">
        <f>F306*E306</f>
        <v>2832199.9999999995</v>
      </c>
      <c r="H306" s="85" t="s">
        <v>462</v>
      </c>
    </row>
    <row r="307" spans="1:8" ht="40.5" customHeight="1">
      <c r="A307" s="47"/>
      <c r="B307" s="33"/>
      <c r="C307" s="3" t="s">
        <v>55</v>
      </c>
      <c r="D307" s="18" t="s">
        <v>4</v>
      </c>
      <c r="E307" s="35">
        <f>4*4</f>
        <v>16</v>
      </c>
      <c r="F307" s="8">
        <f>736000*40%</f>
        <v>294400</v>
      </c>
      <c r="G307" s="12">
        <f>F307*E307</f>
        <v>4710400</v>
      </c>
      <c r="H307" s="85" t="s">
        <v>459</v>
      </c>
    </row>
    <row r="308" spans="1:8" ht="39.75" customHeight="1">
      <c r="A308" s="47"/>
      <c r="B308" s="22"/>
      <c r="C308" s="1" t="s">
        <v>124</v>
      </c>
      <c r="D308" s="18" t="s">
        <v>45</v>
      </c>
      <c r="E308" s="23">
        <v>1</v>
      </c>
      <c r="F308" s="7">
        <v>0</v>
      </c>
      <c r="G308" s="84">
        <f>F308*E308</f>
        <v>0</v>
      </c>
      <c r="H308" s="90" t="s">
        <v>540</v>
      </c>
    </row>
    <row r="309" spans="1:8" s="20" customFormat="1" ht="21.75" customHeight="1">
      <c r="A309" s="26"/>
      <c r="B309" s="26" t="s">
        <v>6</v>
      </c>
      <c r="C309" s="27"/>
      <c r="D309" s="37"/>
      <c r="E309" s="29"/>
      <c r="F309" s="9"/>
      <c r="G309" s="60">
        <f>SUM(G304:G308)</f>
        <v>20447816</v>
      </c>
      <c r="H309" s="68"/>
    </row>
    <row r="310" spans="1:8" ht="89.25" customHeight="1">
      <c r="A310" s="48">
        <v>41</v>
      </c>
      <c r="B310" s="122" t="s">
        <v>162</v>
      </c>
      <c r="C310" s="106" t="s">
        <v>582</v>
      </c>
      <c r="D310" s="103" t="s">
        <v>4</v>
      </c>
      <c r="E310" s="117">
        <f>3.2*6.2</f>
        <v>19.840000000000003</v>
      </c>
      <c r="F310" s="10">
        <f>(3230000-(8%*3230000))*40%</f>
        <v>1188640</v>
      </c>
      <c r="G310" s="120">
        <f>F310*E310</f>
        <v>23582617.600000005</v>
      </c>
      <c r="H310" s="173" t="s">
        <v>583</v>
      </c>
    </row>
    <row r="311" spans="1:8" ht="49.5" customHeight="1">
      <c r="A311" s="47"/>
      <c r="B311" s="22" t="s">
        <v>164</v>
      </c>
      <c r="C311" s="4" t="s">
        <v>509</v>
      </c>
      <c r="D311" s="44" t="s">
        <v>209</v>
      </c>
      <c r="E311" s="44">
        <f>(3.2+3.2+6.2)*0.9*0.1</f>
        <v>1.1340000000000001</v>
      </c>
      <c r="F311" s="7">
        <f>7030000*40%</f>
        <v>2812000</v>
      </c>
      <c r="G311" s="12">
        <f>F311*E311</f>
        <v>3188808.0000000005</v>
      </c>
      <c r="H311" s="85" t="s">
        <v>565</v>
      </c>
    </row>
    <row r="312" spans="1:8" ht="83.25" customHeight="1">
      <c r="A312" s="47"/>
      <c r="B312" s="25" t="s">
        <v>273</v>
      </c>
      <c r="C312" s="31" t="s">
        <v>35</v>
      </c>
      <c r="D312" s="18"/>
      <c r="E312" s="35"/>
      <c r="F312" s="8"/>
      <c r="G312" s="12"/>
      <c r="H312" s="178"/>
    </row>
    <row r="313" spans="1:8" ht="33.75" customHeight="1">
      <c r="A313" s="47"/>
      <c r="B313" s="22" t="s">
        <v>163</v>
      </c>
      <c r="C313" s="3" t="s">
        <v>197</v>
      </c>
      <c r="D313" s="18" t="s">
        <v>4</v>
      </c>
      <c r="E313" s="35">
        <f>2*3.2</f>
        <v>6.4</v>
      </c>
      <c r="F313" s="8">
        <f>150000*40%</f>
        <v>60000</v>
      </c>
      <c r="G313" s="12">
        <f aca="true" t="shared" si="1" ref="G313:G360">F313*E313</f>
        <v>384000</v>
      </c>
      <c r="H313" s="85" t="s">
        <v>461</v>
      </c>
    </row>
    <row r="314" spans="1:8" ht="24.75" customHeight="1">
      <c r="A314" s="47"/>
      <c r="B314" s="25"/>
      <c r="C314" s="3" t="s">
        <v>208</v>
      </c>
      <c r="D314" s="18" t="s">
        <v>209</v>
      </c>
      <c r="E314" s="23">
        <f>(3+1.1)*2.5*0.1</f>
        <v>1.0250000000000001</v>
      </c>
      <c r="F314" s="8">
        <v>0</v>
      </c>
      <c r="G314" s="12">
        <f t="shared" si="1"/>
        <v>0</v>
      </c>
      <c r="H314" s="219" t="s">
        <v>540</v>
      </c>
    </row>
    <row r="315" spans="1:8" ht="24.75" customHeight="1">
      <c r="A315" s="47"/>
      <c r="B315" s="22"/>
      <c r="C315" s="1" t="s">
        <v>165</v>
      </c>
      <c r="D315" s="18" t="s">
        <v>4</v>
      </c>
      <c r="E315" s="23">
        <f>(6.2+0.7)*1</f>
        <v>6.9</v>
      </c>
      <c r="F315" s="7">
        <v>0</v>
      </c>
      <c r="G315" s="12">
        <f t="shared" si="1"/>
        <v>0</v>
      </c>
      <c r="H315" s="203"/>
    </row>
    <row r="316" spans="1:8" ht="24.75" customHeight="1">
      <c r="A316" s="48"/>
      <c r="B316" s="57"/>
      <c r="C316" s="55" t="s">
        <v>124</v>
      </c>
      <c r="D316" s="103" t="s">
        <v>45</v>
      </c>
      <c r="E316" s="56">
        <v>1</v>
      </c>
      <c r="F316" s="7">
        <v>0</v>
      </c>
      <c r="G316" s="84">
        <f t="shared" si="1"/>
        <v>0</v>
      </c>
      <c r="H316" s="204"/>
    </row>
    <row r="317" spans="1:8" s="20" customFormat="1" ht="25.5" customHeight="1">
      <c r="A317" s="26"/>
      <c r="B317" s="26" t="s">
        <v>6</v>
      </c>
      <c r="C317" s="27"/>
      <c r="D317" s="37"/>
      <c r="E317" s="29"/>
      <c r="F317" s="9"/>
      <c r="G317" s="60">
        <f>SUM(G310:G316)</f>
        <v>27155425.600000005</v>
      </c>
      <c r="H317" s="68"/>
    </row>
    <row r="318" spans="1:8" ht="46.5" customHeight="1">
      <c r="A318" s="2">
        <v>42</v>
      </c>
      <c r="B318" s="64" t="s">
        <v>437</v>
      </c>
      <c r="C318" s="91" t="s">
        <v>35</v>
      </c>
      <c r="D318" s="18"/>
      <c r="E318" s="65"/>
      <c r="F318" s="8"/>
      <c r="G318" s="13"/>
      <c r="H318" s="178"/>
    </row>
    <row r="319" spans="1:8" ht="78.75" customHeight="1">
      <c r="A319" s="2"/>
      <c r="B319" s="25" t="s">
        <v>485</v>
      </c>
      <c r="C319" s="3" t="s">
        <v>166</v>
      </c>
      <c r="D319" s="18" t="s">
        <v>4</v>
      </c>
      <c r="E319" s="67">
        <f>3.1*6.3</f>
        <v>19.53</v>
      </c>
      <c r="F319" s="8">
        <f>821000*40%</f>
        <v>328400</v>
      </c>
      <c r="G319" s="12">
        <f t="shared" si="1"/>
        <v>6413652</v>
      </c>
      <c r="H319" s="85" t="s">
        <v>460</v>
      </c>
    </row>
    <row r="320" spans="1:8" s="20" customFormat="1" ht="25.5" customHeight="1">
      <c r="A320" s="26"/>
      <c r="B320" s="26" t="s">
        <v>6</v>
      </c>
      <c r="C320" s="27"/>
      <c r="D320" s="37"/>
      <c r="E320" s="29"/>
      <c r="F320" s="9"/>
      <c r="G320" s="60">
        <f>SUM(G318:G319)</f>
        <v>6413652</v>
      </c>
      <c r="H320" s="68"/>
    </row>
    <row r="321" spans="1:8" s="20" customFormat="1" ht="28.5" customHeight="1">
      <c r="A321" s="2">
        <v>43</v>
      </c>
      <c r="B321" s="64" t="s">
        <v>167</v>
      </c>
      <c r="C321" s="91" t="s">
        <v>35</v>
      </c>
      <c r="D321" s="112"/>
      <c r="E321" s="113"/>
      <c r="F321" s="114"/>
      <c r="G321" s="115"/>
      <c r="H321" s="81"/>
    </row>
    <row r="322" spans="1:8" ht="126.75" customHeight="1">
      <c r="A322" s="47"/>
      <c r="B322" s="25" t="s">
        <v>274</v>
      </c>
      <c r="C322" s="3" t="s">
        <v>235</v>
      </c>
      <c r="D322" s="18" t="s">
        <v>4</v>
      </c>
      <c r="E322" s="67">
        <f>(5.36*3.82)+(3.3*3.92)</f>
        <v>33.4112</v>
      </c>
      <c r="F322" s="8">
        <f>(3230000-(10%*3230000)-(10%*3230000)-150000-160000)*40%</f>
        <v>909600</v>
      </c>
      <c r="G322" s="13">
        <f>F322*E322</f>
        <v>30390827.52</v>
      </c>
      <c r="H322" s="69" t="s">
        <v>600</v>
      </c>
    </row>
    <row r="323" spans="1:8" ht="40.5" customHeight="1">
      <c r="A323" s="47"/>
      <c r="B323" s="22" t="s">
        <v>168</v>
      </c>
      <c r="C323" s="4" t="s">
        <v>169</v>
      </c>
      <c r="D323" s="18" t="s">
        <v>4</v>
      </c>
      <c r="E323" s="44">
        <f>3*3.4*2.8</f>
        <v>28.559999999999995</v>
      </c>
      <c r="F323" s="7">
        <v>0</v>
      </c>
      <c r="G323" s="12">
        <f t="shared" si="1"/>
        <v>0</v>
      </c>
      <c r="H323" s="90" t="s">
        <v>540</v>
      </c>
    </row>
    <row r="324" spans="1:8" ht="45.75" customHeight="1">
      <c r="A324" s="47"/>
      <c r="B324" s="22"/>
      <c r="C324" s="1" t="s">
        <v>7</v>
      </c>
      <c r="D324" s="18" t="s">
        <v>4</v>
      </c>
      <c r="E324" s="35">
        <f>3.1*3.4</f>
        <v>10.54</v>
      </c>
      <c r="F324" s="8">
        <f>498000*40%</f>
        <v>199200</v>
      </c>
      <c r="G324" s="12">
        <f t="shared" si="1"/>
        <v>2099568</v>
      </c>
      <c r="H324" s="85" t="s">
        <v>458</v>
      </c>
    </row>
    <row r="325" spans="1:8" ht="32.25" customHeight="1">
      <c r="A325" s="47"/>
      <c r="B325" s="22"/>
      <c r="C325" s="3" t="s">
        <v>41</v>
      </c>
      <c r="D325" s="18" t="s">
        <v>4</v>
      </c>
      <c r="E325" s="35">
        <f>3*2.7</f>
        <v>8.100000000000001</v>
      </c>
      <c r="F325" s="8">
        <v>0</v>
      </c>
      <c r="G325" s="84">
        <f t="shared" si="1"/>
        <v>0</v>
      </c>
      <c r="H325" s="90" t="s">
        <v>540</v>
      </c>
    </row>
    <row r="326" spans="1:8" s="20" customFormat="1" ht="25.5" customHeight="1">
      <c r="A326" s="26"/>
      <c r="B326" s="26" t="s">
        <v>6</v>
      </c>
      <c r="C326" s="27"/>
      <c r="D326" s="37"/>
      <c r="E326" s="29"/>
      <c r="F326" s="9"/>
      <c r="G326" s="60">
        <f>SUM(G321:G325)</f>
        <v>32490395.52</v>
      </c>
      <c r="H326" s="68"/>
    </row>
    <row r="327" spans="1:8" ht="96.75" customHeight="1">
      <c r="A327" s="2">
        <v>44</v>
      </c>
      <c r="B327" s="64" t="s">
        <v>170</v>
      </c>
      <c r="C327" s="5" t="s">
        <v>172</v>
      </c>
      <c r="D327" s="18" t="s">
        <v>4</v>
      </c>
      <c r="E327" s="65">
        <f>(2.4*5.3)+(2.4*3.3)+(4.2*6.7)</f>
        <v>48.78</v>
      </c>
      <c r="F327" s="8">
        <f>821000*40%</f>
        <v>328400</v>
      </c>
      <c r="G327" s="13">
        <f t="shared" si="1"/>
        <v>16019352</v>
      </c>
      <c r="H327" s="85" t="s">
        <v>468</v>
      </c>
    </row>
    <row r="328" spans="1:8" ht="54" customHeight="1">
      <c r="A328" s="47"/>
      <c r="B328" s="25" t="s">
        <v>275</v>
      </c>
      <c r="C328" s="31"/>
      <c r="D328" s="18"/>
      <c r="E328" s="35"/>
      <c r="F328" s="8"/>
      <c r="G328" s="12"/>
      <c r="H328" s="71"/>
    </row>
    <row r="329" spans="1:8" ht="39" customHeight="1">
      <c r="A329" s="47"/>
      <c r="B329" s="33" t="s">
        <v>171</v>
      </c>
      <c r="C329" s="3"/>
      <c r="D329" s="18"/>
      <c r="E329" s="35"/>
      <c r="F329" s="8"/>
      <c r="G329" s="84"/>
      <c r="H329" s="71"/>
    </row>
    <row r="330" spans="1:8" s="20" customFormat="1" ht="25.5" customHeight="1">
      <c r="A330" s="26"/>
      <c r="B330" s="26" t="s">
        <v>6</v>
      </c>
      <c r="C330" s="27"/>
      <c r="D330" s="37"/>
      <c r="E330" s="29"/>
      <c r="F330" s="9"/>
      <c r="G330" s="60">
        <f>SUM(G327:G329)</f>
        <v>16019352</v>
      </c>
      <c r="H330" s="68"/>
    </row>
    <row r="331" spans="1:8" ht="105" customHeight="1">
      <c r="A331" s="48">
        <v>45</v>
      </c>
      <c r="B331" s="122" t="s">
        <v>173</v>
      </c>
      <c r="C331" s="106" t="s">
        <v>584</v>
      </c>
      <c r="D331" s="103" t="s">
        <v>4</v>
      </c>
      <c r="E331" s="117">
        <f>3.1*6.1</f>
        <v>18.91</v>
      </c>
      <c r="F331" s="10">
        <f>(3230000-(8%*3230000))*40%</f>
        <v>1188640</v>
      </c>
      <c r="G331" s="120">
        <f>F331*E331</f>
        <v>22477182.4</v>
      </c>
      <c r="H331" s="174" t="s">
        <v>576</v>
      </c>
    </row>
    <row r="332" spans="1:8" ht="57" customHeight="1">
      <c r="A332" s="47"/>
      <c r="B332" s="22" t="s">
        <v>16</v>
      </c>
      <c r="C332" s="4" t="s">
        <v>510</v>
      </c>
      <c r="D332" s="44" t="s">
        <v>209</v>
      </c>
      <c r="E332" s="44">
        <f>((3.1+3.1)*0.9*0.1)+(6.1*0.9*0.1)</f>
        <v>1.1070000000000002</v>
      </c>
      <c r="F332" s="7">
        <f>7030000*40%</f>
        <v>2812000</v>
      </c>
      <c r="G332" s="12">
        <f>F332*E332</f>
        <v>3112884.0000000005</v>
      </c>
      <c r="H332" s="85" t="s">
        <v>565</v>
      </c>
    </row>
    <row r="333" spans="1:8" ht="74.25" customHeight="1">
      <c r="A333" s="47"/>
      <c r="B333" s="25" t="s">
        <v>276</v>
      </c>
      <c r="C333" s="31" t="s">
        <v>35</v>
      </c>
      <c r="D333" s="18"/>
      <c r="E333" s="35"/>
      <c r="F333" s="8"/>
      <c r="G333" s="12"/>
      <c r="H333" s="178"/>
    </row>
    <row r="334" spans="1:8" ht="99" customHeight="1">
      <c r="A334" s="47"/>
      <c r="B334" s="22" t="s">
        <v>174</v>
      </c>
      <c r="C334" s="3" t="s">
        <v>175</v>
      </c>
      <c r="D334" s="18" t="s">
        <v>4</v>
      </c>
      <c r="E334" s="35">
        <f>2.2*3.1</f>
        <v>6.820000000000001</v>
      </c>
      <c r="F334" s="8">
        <f>(3230000-(5%*3230000)-(8%*3230000))*40%</f>
        <v>1124040</v>
      </c>
      <c r="G334" s="12">
        <f t="shared" si="1"/>
        <v>7665952.800000002</v>
      </c>
      <c r="H334" s="72" t="s">
        <v>469</v>
      </c>
    </row>
    <row r="335" spans="1:8" ht="90" customHeight="1">
      <c r="A335" s="47"/>
      <c r="B335" s="22"/>
      <c r="C335" s="3" t="s">
        <v>176</v>
      </c>
      <c r="D335" s="18" t="s">
        <v>4</v>
      </c>
      <c r="E335" s="35">
        <f>3.1*4.5</f>
        <v>13.950000000000001</v>
      </c>
      <c r="F335" s="8">
        <f>(3230000-(8%*3230000)-150000-160000)*40%</f>
        <v>1064640</v>
      </c>
      <c r="G335" s="12">
        <f t="shared" si="1"/>
        <v>14851728.000000002</v>
      </c>
      <c r="H335" s="69" t="s">
        <v>470</v>
      </c>
    </row>
    <row r="336" spans="1:8" ht="50.25" customHeight="1">
      <c r="A336" s="47"/>
      <c r="B336" s="22"/>
      <c r="C336" s="3" t="s">
        <v>177</v>
      </c>
      <c r="D336" s="18" t="s">
        <v>4</v>
      </c>
      <c r="E336" s="35">
        <f>3.7*1.7</f>
        <v>6.29</v>
      </c>
      <c r="F336" s="8">
        <f>498000*40%</f>
        <v>199200</v>
      </c>
      <c r="G336" s="12">
        <f t="shared" si="1"/>
        <v>1252968</v>
      </c>
      <c r="H336" s="85" t="s">
        <v>458</v>
      </c>
    </row>
    <row r="337" spans="1:8" ht="29.25" customHeight="1">
      <c r="A337" s="185"/>
      <c r="B337" s="186"/>
      <c r="C337" s="4" t="s">
        <v>438</v>
      </c>
      <c r="D337" s="44" t="s">
        <v>369</v>
      </c>
      <c r="E337" s="44">
        <v>10</v>
      </c>
      <c r="F337" s="186">
        <v>0</v>
      </c>
      <c r="G337" s="187">
        <f t="shared" si="1"/>
        <v>0</v>
      </c>
      <c r="H337" s="188" t="s">
        <v>540</v>
      </c>
    </row>
    <row r="338" spans="1:8" ht="32.25" customHeight="1">
      <c r="A338" s="179"/>
      <c r="B338" s="180"/>
      <c r="C338" s="181" t="s">
        <v>486</v>
      </c>
      <c r="D338" s="182" t="s">
        <v>369</v>
      </c>
      <c r="E338" s="182">
        <v>20</v>
      </c>
      <c r="F338" s="180">
        <v>0</v>
      </c>
      <c r="G338" s="183">
        <f t="shared" si="1"/>
        <v>0</v>
      </c>
      <c r="H338" s="184" t="s">
        <v>540</v>
      </c>
    </row>
    <row r="339" spans="1:8" s="20" customFormat="1" ht="25.5" customHeight="1">
      <c r="A339" s="26"/>
      <c r="B339" s="26" t="s">
        <v>6</v>
      </c>
      <c r="C339" s="27"/>
      <c r="D339" s="37"/>
      <c r="E339" s="29"/>
      <c r="F339" s="9"/>
      <c r="G339" s="60">
        <f>SUM(G331:G338)</f>
        <v>49360715.2</v>
      </c>
      <c r="H339" s="68"/>
    </row>
    <row r="340" spans="1:8" ht="36.75" customHeight="1">
      <c r="A340" s="2">
        <v>46</v>
      </c>
      <c r="B340" s="64" t="s">
        <v>178</v>
      </c>
      <c r="C340" s="91" t="s">
        <v>35</v>
      </c>
      <c r="D340" s="18"/>
      <c r="E340" s="65"/>
      <c r="F340" s="8"/>
      <c r="G340" s="13"/>
      <c r="H340" s="178"/>
    </row>
    <row r="341" spans="1:8" ht="52.5" customHeight="1">
      <c r="A341" s="47"/>
      <c r="B341" s="25" t="s">
        <v>253</v>
      </c>
      <c r="C341" s="4" t="s">
        <v>180</v>
      </c>
      <c r="D341" s="18" t="s">
        <v>4</v>
      </c>
      <c r="E341" s="44">
        <f>9.2*4.9</f>
        <v>45.08</v>
      </c>
      <c r="F341" s="7">
        <f>821000*40%</f>
        <v>328400</v>
      </c>
      <c r="G341" s="12">
        <f t="shared" si="1"/>
        <v>14804272</v>
      </c>
      <c r="H341" s="178" t="s">
        <v>460</v>
      </c>
    </row>
    <row r="342" spans="1:8" ht="40.5" customHeight="1">
      <c r="A342" s="47"/>
      <c r="B342" s="22" t="s">
        <v>179</v>
      </c>
      <c r="C342" s="1" t="s">
        <v>7</v>
      </c>
      <c r="D342" s="18" t="s">
        <v>4</v>
      </c>
      <c r="E342" s="35">
        <f>3*9.2</f>
        <v>27.599999999999998</v>
      </c>
      <c r="F342" s="8">
        <f>498000*40%</f>
        <v>199200</v>
      </c>
      <c r="G342" s="12">
        <f t="shared" si="1"/>
        <v>5497920</v>
      </c>
      <c r="H342" s="178" t="s">
        <v>458</v>
      </c>
    </row>
    <row r="343" spans="1:8" ht="33.75" customHeight="1">
      <c r="A343" s="47"/>
      <c r="C343" s="3" t="s">
        <v>41</v>
      </c>
      <c r="D343" s="18" t="s">
        <v>4</v>
      </c>
      <c r="E343" s="35">
        <f>9.2*2.7</f>
        <v>24.84</v>
      </c>
      <c r="F343" s="8">
        <v>0</v>
      </c>
      <c r="G343" s="84">
        <f t="shared" si="1"/>
        <v>0</v>
      </c>
      <c r="H343" s="90" t="s">
        <v>540</v>
      </c>
    </row>
    <row r="344" spans="1:8" s="20" customFormat="1" ht="25.5" customHeight="1">
      <c r="A344" s="26"/>
      <c r="B344" s="26" t="s">
        <v>6</v>
      </c>
      <c r="C344" s="27"/>
      <c r="D344" s="37"/>
      <c r="E344" s="29"/>
      <c r="F344" s="9"/>
      <c r="G344" s="60">
        <f>SUM(G340:G343)</f>
        <v>20302192</v>
      </c>
      <c r="H344" s="68"/>
    </row>
    <row r="345" spans="1:8" ht="93" customHeight="1">
      <c r="A345" s="48">
        <v>47</v>
      </c>
      <c r="B345" s="122" t="s">
        <v>181</v>
      </c>
      <c r="C345" s="106" t="s">
        <v>585</v>
      </c>
      <c r="D345" s="103" t="s">
        <v>4</v>
      </c>
      <c r="E345" s="117">
        <f>3.1*6.1</f>
        <v>18.91</v>
      </c>
      <c r="F345" s="10">
        <f>(3230000-(8%*3230000))*40%</f>
        <v>1188640</v>
      </c>
      <c r="G345" s="120">
        <f>F345*E345</f>
        <v>22477182.4</v>
      </c>
      <c r="H345" s="174" t="s">
        <v>576</v>
      </c>
    </row>
    <row r="346" spans="1:8" ht="56.25" customHeight="1">
      <c r="A346" s="47"/>
      <c r="B346" s="22" t="s">
        <v>224</v>
      </c>
      <c r="C346" s="4" t="s">
        <v>510</v>
      </c>
      <c r="D346" s="44" t="s">
        <v>209</v>
      </c>
      <c r="E346" s="44">
        <f>(3.1+3.1)*0.9*0.1</f>
        <v>0.558</v>
      </c>
      <c r="F346" s="7">
        <f>7030000*40%</f>
        <v>2812000</v>
      </c>
      <c r="G346" s="12">
        <f>F346*E346</f>
        <v>1569096.0000000002</v>
      </c>
      <c r="H346" s="85" t="s">
        <v>565</v>
      </c>
    </row>
    <row r="347" spans="1:8" ht="42" customHeight="1">
      <c r="A347" s="47"/>
      <c r="B347" s="25" t="s">
        <v>277</v>
      </c>
      <c r="C347" s="31" t="s">
        <v>35</v>
      </c>
      <c r="D347" s="18"/>
      <c r="E347" s="35"/>
      <c r="F347" s="8"/>
      <c r="G347" s="12"/>
      <c r="H347" s="178"/>
    </row>
    <row r="348" spans="1:8" ht="42" customHeight="1">
      <c r="A348" s="47"/>
      <c r="B348" s="22" t="s">
        <v>182</v>
      </c>
      <c r="C348" s="3" t="s">
        <v>192</v>
      </c>
      <c r="D348" s="18" t="s">
        <v>4</v>
      </c>
      <c r="E348" s="35">
        <f>4.6*3.1</f>
        <v>14.26</v>
      </c>
      <c r="F348" s="8">
        <f>498000*40%</f>
        <v>199200</v>
      </c>
      <c r="G348" s="12">
        <f t="shared" si="1"/>
        <v>2840592</v>
      </c>
      <c r="H348" s="178" t="s">
        <v>458</v>
      </c>
    </row>
    <row r="349" spans="1:8" ht="52.5" customHeight="1">
      <c r="A349" s="47"/>
      <c r="B349" s="25"/>
      <c r="C349" s="3" t="s">
        <v>183</v>
      </c>
      <c r="D349" s="18" t="s">
        <v>4</v>
      </c>
      <c r="E349" s="23">
        <f>1.4*3.1</f>
        <v>4.34</v>
      </c>
      <c r="F349" s="8">
        <f>2450000*40%</f>
        <v>980000</v>
      </c>
      <c r="G349" s="12">
        <f t="shared" si="1"/>
        <v>4253200</v>
      </c>
      <c r="H349" s="178" t="s">
        <v>462</v>
      </c>
    </row>
    <row r="350" spans="1:8" ht="42" customHeight="1">
      <c r="A350" s="47"/>
      <c r="B350" s="25"/>
      <c r="C350" s="1" t="s">
        <v>177</v>
      </c>
      <c r="D350" s="32" t="s">
        <v>4</v>
      </c>
      <c r="E350" s="23">
        <f>3.1*1.8</f>
        <v>5.58</v>
      </c>
      <c r="F350" s="8">
        <f>498000*40%</f>
        <v>199200</v>
      </c>
      <c r="G350" s="12">
        <f t="shared" si="1"/>
        <v>1111536</v>
      </c>
      <c r="H350" s="178" t="s">
        <v>458</v>
      </c>
    </row>
    <row r="351" spans="1:8" ht="25.5" customHeight="1">
      <c r="A351" s="47"/>
      <c r="B351" s="25"/>
      <c r="C351" s="3" t="s">
        <v>438</v>
      </c>
      <c r="D351" s="94" t="s">
        <v>369</v>
      </c>
      <c r="E351" s="23">
        <v>30</v>
      </c>
      <c r="F351" s="8">
        <v>0</v>
      </c>
      <c r="G351" s="12">
        <f t="shared" si="1"/>
        <v>0</v>
      </c>
      <c r="H351" s="196" t="s">
        <v>540</v>
      </c>
    </row>
    <row r="352" spans="1:8" ht="20.25" customHeight="1">
      <c r="A352" s="47"/>
      <c r="B352" s="25"/>
      <c r="C352" s="3" t="s">
        <v>439</v>
      </c>
      <c r="D352" s="94" t="s">
        <v>369</v>
      </c>
      <c r="E352" s="23">
        <v>20</v>
      </c>
      <c r="F352" s="8">
        <v>0</v>
      </c>
      <c r="G352" s="12">
        <f t="shared" si="1"/>
        <v>0</v>
      </c>
      <c r="H352" s="197"/>
    </row>
    <row r="353" spans="1:8" s="20" customFormat="1" ht="19.5" customHeight="1">
      <c r="A353" s="26"/>
      <c r="B353" s="26" t="s">
        <v>6</v>
      </c>
      <c r="C353" s="27"/>
      <c r="D353" s="37"/>
      <c r="E353" s="29"/>
      <c r="F353" s="9"/>
      <c r="G353" s="60">
        <f>SUM(G345:G352)</f>
        <v>32251606.4</v>
      </c>
      <c r="H353" s="68"/>
    </row>
    <row r="354" spans="1:8" ht="96.75" customHeight="1">
      <c r="A354" s="48">
        <v>48</v>
      </c>
      <c r="B354" s="122" t="s">
        <v>184</v>
      </c>
      <c r="C354" s="55" t="s">
        <v>586</v>
      </c>
      <c r="D354" s="103" t="s">
        <v>4</v>
      </c>
      <c r="E354" s="119">
        <f>3.1*6.1</f>
        <v>18.91</v>
      </c>
      <c r="F354" s="10">
        <f>(3230000-(8%*3230000))*40%</f>
        <v>1188640</v>
      </c>
      <c r="G354" s="120">
        <f>F354*E354</f>
        <v>22477182.4</v>
      </c>
      <c r="H354" s="174" t="s">
        <v>576</v>
      </c>
    </row>
    <row r="355" spans="1:8" ht="50.25" customHeight="1">
      <c r="A355" s="47"/>
      <c r="B355" s="22" t="s">
        <v>223</v>
      </c>
      <c r="C355" s="4" t="s">
        <v>509</v>
      </c>
      <c r="D355" s="44" t="s">
        <v>209</v>
      </c>
      <c r="E355" s="44">
        <f>(3.1+3.1)*0.9*0.1</f>
        <v>0.558</v>
      </c>
      <c r="F355" s="7">
        <f>7030000*40%</f>
        <v>2812000</v>
      </c>
      <c r="G355" s="12">
        <f>F355*E355</f>
        <v>1569096.0000000002</v>
      </c>
      <c r="H355" s="85" t="s">
        <v>565</v>
      </c>
    </row>
    <row r="356" spans="1:8" ht="57" customHeight="1">
      <c r="A356" s="47"/>
      <c r="B356" s="25" t="s">
        <v>278</v>
      </c>
      <c r="C356" s="31" t="s">
        <v>35</v>
      </c>
      <c r="D356" s="18"/>
      <c r="E356" s="35"/>
      <c r="F356" s="8"/>
      <c r="G356" s="12"/>
      <c r="H356" s="178"/>
    </row>
    <row r="357" spans="1:8" ht="78" customHeight="1">
      <c r="A357" s="47"/>
      <c r="B357" s="22" t="s">
        <v>185</v>
      </c>
      <c r="C357" s="3" t="s">
        <v>186</v>
      </c>
      <c r="D357" s="18" t="s">
        <v>4</v>
      </c>
      <c r="E357" s="35">
        <f>6.3*3.1</f>
        <v>19.53</v>
      </c>
      <c r="F357" s="8">
        <f>(3230000-(8%*3230000)-150000)*40%</f>
        <v>1128640</v>
      </c>
      <c r="G357" s="12">
        <f t="shared" si="1"/>
        <v>22042339.200000003</v>
      </c>
      <c r="H357" s="72" t="s">
        <v>601</v>
      </c>
    </row>
    <row r="358" spans="1:8" ht="43.5" customHeight="1">
      <c r="A358" s="47"/>
      <c r="B358" s="25"/>
      <c r="C358" s="3" t="s">
        <v>7</v>
      </c>
      <c r="D358" s="18" t="s">
        <v>4</v>
      </c>
      <c r="E358" s="23">
        <f>3.1*1.7</f>
        <v>5.27</v>
      </c>
      <c r="F358" s="8">
        <f>498000*40%</f>
        <v>199200</v>
      </c>
      <c r="G358" s="84">
        <f t="shared" si="1"/>
        <v>1049784</v>
      </c>
      <c r="H358" s="178" t="s">
        <v>458</v>
      </c>
    </row>
    <row r="359" spans="1:8" s="20" customFormat="1" ht="25.5" customHeight="1">
      <c r="A359" s="26"/>
      <c r="B359" s="26" t="s">
        <v>6</v>
      </c>
      <c r="C359" s="27"/>
      <c r="D359" s="37"/>
      <c r="E359" s="29"/>
      <c r="F359" s="9"/>
      <c r="G359" s="60">
        <f>SUM(G354:G358)</f>
        <v>47138401.6</v>
      </c>
      <c r="H359" s="68"/>
    </row>
    <row r="360" spans="1:8" ht="58.5" customHeight="1">
      <c r="A360" s="2">
        <v>49</v>
      </c>
      <c r="B360" s="64" t="s">
        <v>187</v>
      </c>
      <c r="C360" s="5" t="s">
        <v>7</v>
      </c>
      <c r="D360" s="18" t="s">
        <v>4</v>
      </c>
      <c r="E360" s="65">
        <f>(8.8*7.6)+(3.7*1.8)</f>
        <v>73.53999999999999</v>
      </c>
      <c r="F360" s="8">
        <f>498000*40%</f>
        <v>199200</v>
      </c>
      <c r="G360" s="13">
        <f t="shared" si="1"/>
        <v>14649167.999999998</v>
      </c>
      <c r="H360" s="198" t="s">
        <v>471</v>
      </c>
    </row>
    <row r="361" spans="1:8" ht="48.75" customHeight="1">
      <c r="A361" s="47"/>
      <c r="B361" s="25" t="s">
        <v>279</v>
      </c>
      <c r="C361" s="31"/>
      <c r="D361" s="18"/>
      <c r="E361" s="35"/>
      <c r="F361" s="8"/>
      <c r="G361" s="12"/>
      <c r="H361" s="199"/>
    </row>
    <row r="362" spans="1:8" ht="25.5" customHeight="1">
      <c r="A362" s="47"/>
      <c r="B362" s="22" t="s">
        <v>188</v>
      </c>
      <c r="C362" s="3"/>
      <c r="D362" s="18"/>
      <c r="E362" s="35"/>
      <c r="F362" s="8"/>
      <c r="G362" s="84"/>
      <c r="H362" s="200"/>
    </row>
    <row r="363" spans="1:8" s="20" customFormat="1" ht="25.5" customHeight="1">
      <c r="A363" s="26"/>
      <c r="B363" s="26" t="s">
        <v>6</v>
      </c>
      <c r="C363" s="27"/>
      <c r="D363" s="37"/>
      <c r="E363" s="29"/>
      <c r="F363" s="9"/>
      <c r="G363" s="60">
        <f>SUM(G360:G362)</f>
        <v>14649167.999999998</v>
      </c>
      <c r="H363" s="68"/>
    </row>
    <row r="364" spans="1:8" ht="98.25" customHeight="1">
      <c r="A364" s="48">
        <v>50</v>
      </c>
      <c r="B364" s="122" t="s">
        <v>204</v>
      </c>
      <c r="C364" s="106" t="s">
        <v>206</v>
      </c>
      <c r="D364" s="103" t="s">
        <v>4</v>
      </c>
      <c r="E364" s="117">
        <f>3.1*6.2</f>
        <v>19.220000000000002</v>
      </c>
      <c r="F364" s="10">
        <f>(3230000-(8%*3230000))*40%</f>
        <v>1188640</v>
      </c>
      <c r="G364" s="120">
        <f>F364*E364</f>
        <v>22845660.800000004</v>
      </c>
      <c r="H364" s="174" t="s">
        <v>576</v>
      </c>
    </row>
    <row r="365" spans="1:8" ht="47.25" customHeight="1">
      <c r="A365" s="47"/>
      <c r="B365" s="22" t="s">
        <v>222</v>
      </c>
      <c r="C365" s="4" t="s">
        <v>510</v>
      </c>
      <c r="D365" s="44" t="s">
        <v>209</v>
      </c>
      <c r="E365" s="44">
        <f>(3.1+6.2)*0.9*0.1</f>
        <v>0.8370000000000002</v>
      </c>
      <c r="F365" s="7">
        <f>7030000*40%</f>
        <v>2812000</v>
      </c>
      <c r="G365" s="12">
        <f>F365*E365</f>
        <v>2353644.0000000005</v>
      </c>
      <c r="H365" s="85" t="s">
        <v>565</v>
      </c>
    </row>
    <row r="366" spans="1:8" ht="43.5" customHeight="1">
      <c r="A366" s="47"/>
      <c r="B366" s="25" t="s">
        <v>280</v>
      </c>
      <c r="C366" s="31" t="s">
        <v>35</v>
      </c>
      <c r="D366" s="18"/>
      <c r="E366" s="35"/>
      <c r="F366" s="8"/>
      <c r="G366" s="12"/>
      <c r="H366" s="178"/>
    </row>
    <row r="367" spans="1:8" ht="36.75" customHeight="1">
      <c r="A367" s="47"/>
      <c r="B367" s="22" t="s">
        <v>205</v>
      </c>
      <c r="C367" s="3" t="s">
        <v>207</v>
      </c>
      <c r="D367" s="18" t="s">
        <v>4</v>
      </c>
      <c r="E367" s="35">
        <f>2*2</f>
        <v>4</v>
      </c>
      <c r="F367" s="8">
        <f>150000*40%</f>
        <v>60000</v>
      </c>
      <c r="G367" s="12">
        <f>F367*E367</f>
        <v>240000</v>
      </c>
      <c r="H367" s="178" t="s">
        <v>472</v>
      </c>
    </row>
    <row r="368" spans="1:8" ht="33.75" customHeight="1">
      <c r="A368" s="47"/>
      <c r="B368" s="22"/>
      <c r="C368" s="1" t="s">
        <v>208</v>
      </c>
      <c r="D368" s="32" t="s">
        <v>209</v>
      </c>
      <c r="E368" s="23">
        <f>2*1.6*0.1</f>
        <v>0.32000000000000006</v>
      </c>
      <c r="F368" s="7">
        <v>0</v>
      </c>
      <c r="G368" s="12">
        <f aca="true" t="shared" si="2" ref="G368:G373">F368*E368</f>
        <v>0</v>
      </c>
      <c r="H368" s="188" t="s">
        <v>540</v>
      </c>
    </row>
    <row r="369" spans="1:8" ht="36.75" customHeight="1">
      <c r="A369" s="47"/>
      <c r="B369" s="22"/>
      <c r="C369" s="1" t="s">
        <v>210</v>
      </c>
      <c r="D369" s="32" t="s">
        <v>4</v>
      </c>
      <c r="E369" s="23">
        <f>4.4*2</f>
        <v>8.8</v>
      </c>
      <c r="F369" s="7">
        <f>150000*40%</f>
        <v>60000</v>
      </c>
      <c r="G369" s="12">
        <f t="shared" si="2"/>
        <v>528000</v>
      </c>
      <c r="H369" s="85" t="s">
        <v>472</v>
      </c>
    </row>
    <row r="370" spans="1:8" ht="36.75" customHeight="1">
      <c r="A370" s="47"/>
      <c r="B370" s="22"/>
      <c r="C370" s="3" t="s">
        <v>211</v>
      </c>
      <c r="D370" s="18" t="s">
        <v>4</v>
      </c>
      <c r="E370" s="35">
        <f>1.4*2.3</f>
        <v>3.2199999999999998</v>
      </c>
      <c r="F370" s="8">
        <f>150000*40%</f>
        <v>60000</v>
      </c>
      <c r="G370" s="12">
        <f t="shared" si="2"/>
        <v>193199.99999999997</v>
      </c>
      <c r="H370" s="178" t="s">
        <v>472</v>
      </c>
    </row>
    <row r="371" spans="1:8" ht="36" customHeight="1">
      <c r="A371" s="47"/>
      <c r="B371" s="22"/>
      <c r="C371" s="3" t="s">
        <v>7</v>
      </c>
      <c r="D371" s="18" t="s">
        <v>4</v>
      </c>
      <c r="E371" s="35">
        <f>4*1.7</f>
        <v>6.8</v>
      </c>
      <c r="F371" s="8">
        <f>498000*40%</f>
        <v>199200</v>
      </c>
      <c r="G371" s="12">
        <f t="shared" si="2"/>
        <v>1354560</v>
      </c>
      <c r="H371" s="178" t="s">
        <v>458</v>
      </c>
    </row>
    <row r="372" spans="1:8" ht="73.5" customHeight="1">
      <c r="A372" s="47"/>
      <c r="B372" s="22"/>
      <c r="C372" s="3" t="s">
        <v>236</v>
      </c>
      <c r="D372" s="18" t="s">
        <v>4</v>
      </c>
      <c r="E372" s="35">
        <f>3.1*2.1</f>
        <v>6.510000000000001</v>
      </c>
      <c r="F372" s="8">
        <f>(3230000-(8%*3230000)-150000)*40%</f>
        <v>1128640</v>
      </c>
      <c r="G372" s="12">
        <f t="shared" si="2"/>
        <v>7347446.4</v>
      </c>
      <c r="H372" s="69" t="s">
        <v>602</v>
      </c>
    </row>
    <row r="373" spans="1:8" ht="38.25" customHeight="1">
      <c r="A373" s="47"/>
      <c r="B373" s="22"/>
      <c r="C373" s="3" t="s">
        <v>41</v>
      </c>
      <c r="D373" s="18" t="s">
        <v>4</v>
      </c>
      <c r="E373" s="35">
        <f>3*2.7</f>
        <v>8.100000000000001</v>
      </c>
      <c r="F373" s="8">
        <v>0</v>
      </c>
      <c r="G373" s="12">
        <f t="shared" si="2"/>
        <v>0</v>
      </c>
      <c r="H373" s="90" t="s">
        <v>540</v>
      </c>
    </row>
    <row r="374" spans="1:8" s="20" customFormat="1" ht="25.5" customHeight="1">
      <c r="A374" s="26"/>
      <c r="B374" s="26" t="s">
        <v>6</v>
      </c>
      <c r="C374" s="27"/>
      <c r="D374" s="37"/>
      <c r="E374" s="29"/>
      <c r="F374" s="9"/>
      <c r="G374" s="30">
        <f>SUM(G364:G373)</f>
        <v>34862511.2</v>
      </c>
      <c r="H374" s="68"/>
    </row>
    <row r="375" spans="1:8" ht="30" customHeight="1">
      <c r="A375" s="2">
        <v>51</v>
      </c>
      <c r="B375" s="64" t="s">
        <v>212</v>
      </c>
      <c r="C375" s="31" t="s">
        <v>35</v>
      </c>
      <c r="D375" s="18"/>
      <c r="E375" s="65"/>
      <c r="F375" s="8"/>
      <c r="G375" s="13"/>
      <c r="H375" s="178"/>
    </row>
    <row r="376" spans="1:8" ht="88.5" customHeight="1">
      <c r="A376" s="47"/>
      <c r="B376" s="83" t="s">
        <v>221</v>
      </c>
      <c r="C376" s="4" t="s">
        <v>214</v>
      </c>
      <c r="D376" s="18" t="s">
        <v>4</v>
      </c>
      <c r="E376" s="44">
        <f>(4.44*5.6)+(3.2*3.55)+(3.4*3.55)+(2.5*5.6)</f>
        <v>62.294000000000004</v>
      </c>
      <c r="F376" s="7">
        <f>(3230000-(5%*3230000))*40%</f>
        <v>1227400</v>
      </c>
      <c r="G376" s="12">
        <f>F376*E376</f>
        <v>76459655.60000001</v>
      </c>
      <c r="H376" s="72" t="s">
        <v>473</v>
      </c>
    </row>
    <row r="377" spans="1:8" ht="40.5" customHeight="1">
      <c r="A377" s="47"/>
      <c r="B377" s="25" t="s">
        <v>281</v>
      </c>
      <c r="C377" s="1" t="s">
        <v>215</v>
      </c>
      <c r="D377" s="18" t="s">
        <v>4</v>
      </c>
      <c r="E377" s="35">
        <f>6.1*3.1</f>
        <v>18.91</v>
      </c>
      <c r="F377" s="8">
        <f>498000*40%</f>
        <v>199200</v>
      </c>
      <c r="G377" s="12">
        <f>F377*E377</f>
        <v>3766872</v>
      </c>
      <c r="H377" s="178" t="s">
        <v>458</v>
      </c>
    </row>
    <row r="378" spans="1:8" ht="18.75">
      <c r="A378" s="47"/>
      <c r="B378" s="22" t="s">
        <v>213</v>
      </c>
      <c r="C378" s="3" t="s">
        <v>237</v>
      </c>
      <c r="D378" s="18" t="s">
        <v>4</v>
      </c>
      <c r="E378" s="35">
        <f>3.2*3.55</f>
        <v>11.36</v>
      </c>
      <c r="F378" s="8">
        <f>230000*40%</f>
        <v>92000</v>
      </c>
      <c r="G378" s="12">
        <f>F378*E378</f>
        <v>1045120</v>
      </c>
      <c r="H378" s="178" t="s">
        <v>466</v>
      </c>
    </row>
    <row r="379" spans="1:8" ht="107.25" customHeight="1">
      <c r="A379" s="47"/>
      <c r="B379" s="22"/>
      <c r="C379" s="3" t="s">
        <v>216</v>
      </c>
      <c r="D379" s="18" t="s">
        <v>4</v>
      </c>
      <c r="E379" s="35">
        <f>1.75*9</f>
        <v>15.75</v>
      </c>
      <c r="F379" s="8">
        <f>(3230000-150000-(4%*3230000)-(10%*3230000))*40%</f>
        <v>1051120</v>
      </c>
      <c r="G379" s="12">
        <f>F379*E379</f>
        <v>16555140</v>
      </c>
      <c r="H379" s="72" t="s">
        <v>518</v>
      </c>
    </row>
    <row r="380" spans="1:8" ht="39.75" customHeight="1">
      <c r="A380" s="47"/>
      <c r="B380" s="22"/>
      <c r="C380" s="3" t="s">
        <v>124</v>
      </c>
      <c r="D380" s="18" t="s">
        <v>45</v>
      </c>
      <c r="E380" s="35">
        <v>1</v>
      </c>
      <c r="F380" s="7">
        <v>0</v>
      </c>
      <c r="G380" s="84">
        <f>F380*E380</f>
        <v>0</v>
      </c>
      <c r="H380" s="90" t="s">
        <v>540</v>
      </c>
    </row>
    <row r="381" spans="1:8" s="20" customFormat="1" ht="20.25" customHeight="1">
      <c r="A381" s="26"/>
      <c r="B381" s="26" t="s">
        <v>6</v>
      </c>
      <c r="C381" s="27"/>
      <c r="D381" s="37"/>
      <c r="E381" s="29"/>
      <c r="F381" s="9"/>
      <c r="G381" s="30">
        <f>SUM(G375:G380)</f>
        <v>97826787.60000001</v>
      </c>
      <c r="H381" s="68"/>
    </row>
    <row r="382" spans="1:8" ht="23.25" customHeight="1">
      <c r="A382" s="2">
        <v>52</v>
      </c>
      <c r="B382" s="64" t="s">
        <v>217</v>
      </c>
      <c r="C382" s="31" t="s">
        <v>35</v>
      </c>
      <c r="D382" s="18"/>
      <c r="E382" s="65"/>
      <c r="F382" s="8"/>
      <c r="G382" s="13"/>
      <c r="H382" s="178"/>
    </row>
    <row r="383" spans="1:8" ht="39" customHeight="1">
      <c r="A383" s="47"/>
      <c r="B383" s="83" t="s">
        <v>220</v>
      </c>
      <c r="C383" s="1" t="s">
        <v>219</v>
      </c>
      <c r="D383" s="18" t="s">
        <v>4</v>
      </c>
      <c r="E383" s="44">
        <f>4.2*4.6</f>
        <v>19.32</v>
      </c>
      <c r="F383" s="8">
        <f>736000*40%</f>
        <v>294400</v>
      </c>
      <c r="G383" s="12">
        <f>F383*E383</f>
        <v>5687808</v>
      </c>
      <c r="H383" s="178" t="s">
        <v>459</v>
      </c>
    </row>
    <row r="384" spans="1:8" ht="44.25" customHeight="1">
      <c r="A384" s="47"/>
      <c r="B384" s="25" t="s">
        <v>282</v>
      </c>
      <c r="C384" s="1" t="s">
        <v>215</v>
      </c>
      <c r="D384" s="18" t="s">
        <v>4</v>
      </c>
      <c r="E384" s="35">
        <f>4.6*2.5</f>
        <v>11.5</v>
      </c>
      <c r="F384" s="8">
        <f>498000*40%</f>
        <v>199200</v>
      </c>
      <c r="G384" s="12">
        <f>F384*E384</f>
        <v>2290800</v>
      </c>
      <c r="H384" s="178" t="s">
        <v>458</v>
      </c>
    </row>
    <row r="385" spans="1:8" ht="25.5" customHeight="1">
      <c r="A385" s="47"/>
      <c r="B385" s="22" t="s">
        <v>218</v>
      </c>
      <c r="C385" s="3"/>
      <c r="D385" s="18"/>
      <c r="E385" s="35"/>
      <c r="F385" s="8"/>
      <c r="G385" s="12"/>
      <c r="H385" s="71"/>
    </row>
    <row r="386" spans="1:8" s="20" customFormat="1" ht="25.5" customHeight="1">
      <c r="A386" s="26"/>
      <c r="B386" s="26" t="s">
        <v>6</v>
      </c>
      <c r="C386" s="27"/>
      <c r="D386" s="37"/>
      <c r="E386" s="29"/>
      <c r="F386" s="9"/>
      <c r="G386" s="30">
        <f>SUM(G382:G385)</f>
        <v>7978608</v>
      </c>
      <c r="H386" s="68"/>
    </row>
    <row r="387" spans="1:8" ht="21.75" customHeight="1">
      <c r="A387" s="2">
        <v>53</v>
      </c>
      <c r="B387" s="64" t="s">
        <v>225</v>
      </c>
      <c r="C387" s="31" t="s">
        <v>35</v>
      </c>
      <c r="D387" s="18"/>
      <c r="E387" s="65"/>
      <c r="F387" s="8"/>
      <c r="G387" s="13"/>
      <c r="H387" s="178"/>
    </row>
    <row r="388" spans="1:8" ht="36" customHeight="1">
      <c r="A388" s="47"/>
      <c r="B388" s="83" t="s">
        <v>226</v>
      </c>
      <c r="C388" s="4" t="s">
        <v>228</v>
      </c>
      <c r="D388" s="18" t="s">
        <v>4</v>
      </c>
      <c r="E388" s="44">
        <f>4.1*7</f>
        <v>28.699999999999996</v>
      </c>
      <c r="F388" s="7">
        <f>821000*40%</f>
        <v>328400</v>
      </c>
      <c r="G388" s="12">
        <f>F388*E388</f>
        <v>9425079.999999998</v>
      </c>
      <c r="H388" s="178" t="s">
        <v>460</v>
      </c>
    </row>
    <row r="389" spans="1:8" ht="36" customHeight="1">
      <c r="A389" s="47"/>
      <c r="B389" s="25" t="s">
        <v>283</v>
      </c>
      <c r="C389" s="1" t="s">
        <v>215</v>
      </c>
      <c r="D389" s="18" t="s">
        <v>4</v>
      </c>
      <c r="E389" s="35">
        <f>7*1</f>
        <v>7</v>
      </c>
      <c r="F389" s="8">
        <f>498000*40%</f>
        <v>199200</v>
      </c>
      <c r="G389" s="12">
        <f>F389*E389</f>
        <v>1394400</v>
      </c>
      <c r="H389" s="178" t="s">
        <v>458</v>
      </c>
    </row>
    <row r="390" spans="1:8" ht="34.5" customHeight="1">
      <c r="A390" s="47"/>
      <c r="B390" s="22" t="s">
        <v>227</v>
      </c>
      <c r="C390" s="3" t="s">
        <v>41</v>
      </c>
      <c r="D390" s="18" t="s">
        <v>4</v>
      </c>
      <c r="E390" s="35">
        <f>2.7*4</f>
        <v>10.8</v>
      </c>
      <c r="F390" s="8">
        <v>0</v>
      </c>
      <c r="G390" s="12">
        <f>F390*E390</f>
        <v>0</v>
      </c>
      <c r="H390" s="90" t="s">
        <v>540</v>
      </c>
    </row>
    <row r="391" spans="1:8" s="20" customFormat="1" ht="21.75" customHeight="1">
      <c r="A391" s="26"/>
      <c r="B391" s="26" t="s">
        <v>6</v>
      </c>
      <c r="C391" s="27"/>
      <c r="D391" s="37"/>
      <c r="E391" s="29"/>
      <c r="F391" s="9"/>
      <c r="G391" s="30">
        <f>SUM(G387:G390)</f>
        <v>10819479.999999998</v>
      </c>
      <c r="H391" s="68"/>
    </row>
    <row r="392" spans="1:8" ht="110.25" customHeight="1">
      <c r="A392" s="48">
        <v>54</v>
      </c>
      <c r="B392" s="122" t="s">
        <v>229</v>
      </c>
      <c r="C392" s="106" t="s">
        <v>587</v>
      </c>
      <c r="D392" s="103" t="s">
        <v>4</v>
      </c>
      <c r="E392" s="117">
        <f>3.1*6.2</f>
        <v>19.220000000000002</v>
      </c>
      <c r="F392" s="10">
        <f>(3230000-(8%*3230000)-(5%*3230000))*40%</f>
        <v>1124040</v>
      </c>
      <c r="G392" s="120">
        <f>F392*E392</f>
        <v>21604048.800000004</v>
      </c>
      <c r="H392" s="171" t="s">
        <v>603</v>
      </c>
    </row>
    <row r="393" spans="1:8" ht="57" customHeight="1">
      <c r="A393" s="47"/>
      <c r="B393" s="22" t="s">
        <v>16</v>
      </c>
      <c r="C393" s="4" t="s">
        <v>509</v>
      </c>
      <c r="D393" s="44" t="s">
        <v>209</v>
      </c>
      <c r="E393" s="44">
        <f>(3.1+6.1)*0.9*0.1</f>
        <v>0.828</v>
      </c>
      <c r="F393" s="7">
        <f>7030000*40%</f>
        <v>2812000</v>
      </c>
      <c r="G393" s="12">
        <f>F393*E393</f>
        <v>2328336</v>
      </c>
      <c r="H393" s="85" t="s">
        <v>588</v>
      </c>
    </row>
    <row r="394" spans="1:8" ht="31.5" customHeight="1">
      <c r="A394" s="47"/>
      <c r="B394" s="25" t="s">
        <v>280</v>
      </c>
      <c r="C394" s="31" t="s">
        <v>35</v>
      </c>
      <c r="D394" s="18"/>
      <c r="E394" s="35"/>
      <c r="F394" s="8"/>
      <c r="G394" s="12"/>
      <c r="H394" s="178"/>
    </row>
    <row r="395" spans="1:8" ht="95.25" customHeight="1">
      <c r="A395" s="47"/>
      <c r="B395" s="22" t="s">
        <v>205</v>
      </c>
      <c r="C395" s="3" t="s">
        <v>230</v>
      </c>
      <c r="D395" s="18" t="s">
        <v>4</v>
      </c>
      <c r="E395" s="35">
        <f>7*6.2</f>
        <v>43.4</v>
      </c>
      <c r="F395" s="8">
        <f>(3230000-(8%*3230000))*40%</f>
        <v>1188640</v>
      </c>
      <c r="G395" s="12">
        <f>F395*E395</f>
        <v>51586976</v>
      </c>
      <c r="H395" s="69" t="s">
        <v>604</v>
      </c>
    </row>
    <row r="396" spans="1:8" ht="39.75" customHeight="1">
      <c r="A396" s="47"/>
      <c r="B396" s="22"/>
      <c r="C396" s="3" t="s">
        <v>7</v>
      </c>
      <c r="D396" s="18" t="s">
        <v>4</v>
      </c>
      <c r="E396" s="35">
        <f>1.7*3.5</f>
        <v>5.95</v>
      </c>
      <c r="F396" s="8">
        <f>498000*40%</f>
        <v>199200</v>
      </c>
      <c r="G396" s="12">
        <f>F396*E396</f>
        <v>1185240</v>
      </c>
      <c r="H396" s="178" t="s">
        <v>458</v>
      </c>
    </row>
    <row r="397" spans="1:8" ht="34.5" customHeight="1">
      <c r="A397" s="47"/>
      <c r="B397" s="25"/>
      <c r="C397" s="3" t="s">
        <v>165</v>
      </c>
      <c r="D397" s="18" t="s">
        <v>4</v>
      </c>
      <c r="E397" s="23">
        <f>1.5*8</f>
        <v>12</v>
      </c>
      <c r="F397" s="8">
        <v>0</v>
      </c>
      <c r="G397" s="12">
        <f>F397*E397</f>
        <v>0</v>
      </c>
      <c r="H397" s="90" t="s">
        <v>540</v>
      </c>
    </row>
    <row r="398" spans="1:8" ht="34.5" customHeight="1">
      <c r="A398" s="47"/>
      <c r="B398" s="25"/>
      <c r="C398" s="3" t="s">
        <v>124</v>
      </c>
      <c r="D398" s="18" t="s">
        <v>45</v>
      </c>
      <c r="E398" s="23">
        <v>1</v>
      </c>
      <c r="F398" s="7">
        <v>0</v>
      </c>
      <c r="G398" s="84">
        <f>F398*E398</f>
        <v>0</v>
      </c>
      <c r="H398" s="90" t="s">
        <v>540</v>
      </c>
    </row>
    <row r="399" spans="1:8" s="20" customFormat="1" ht="21" customHeight="1">
      <c r="A399" s="26"/>
      <c r="B399" s="26" t="s">
        <v>6</v>
      </c>
      <c r="C399" s="27"/>
      <c r="D399" s="37"/>
      <c r="E399" s="29"/>
      <c r="F399" s="9"/>
      <c r="G399" s="30">
        <f>SUM(G392:G398)</f>
        <v>76704600.80000001</v>
      </c>
      <c r="H399" s="68"/>
    </row>
    <row r="400" spans="1:8" s="20" customFormat="1" ht="96.75" customHeight="1">
      <c r="A400" s="128">
        <v>55</v>
      </c>
      <c r="B400" s="129" t="s">
        <v>238</v>
      </c>
      <c r="C400" s="106" t="s">
        <v>589</v>
      </c>
      <c r="D400" s="103" t="s">
        <v>4</v>
      </c>
      <c r="E400" s="104">
        <f>6.2*3</f>
        <v>18.6</v>
      </c>
      <c r="F400" s="105">
        <f>(3230000-(8%*3230000))*40%</f>
        <v>1188640</v>
      </c>
      <c r="G400" s="105">
        <f>F400*E400</f>
        <v>22108704</v>
      </c>
      <c r="H400" s="174" t="s">
        <v>590</v>
      </c>
    </row>
    <row r="401" spans="1:8" s="20" customFormat="1" ht="57" customHeight="1">
      <c r="A401" s="21"/>
      <c r="B401" s="22" t="s">
        <v>16</v>
      </c>
      <c r="C401" s="4" t="s">
        <v>509</v>
      </c>
      <c r="D401" s="44" t="s">
        <v>209</v>
      </c>
      <c r="E401" s="23">
        <f>(3+3)*0.9*0.1</f>
        <v>0.54</v>
      </c>
      <c r="F401" s="7">
        <f>7030000*40%</f>
        <v>2812000</v>
      </c>
      <c r="G401" s="7">
        <f>F401*E401</f>
        <v>1518480</v>
      </c>
      <c r="H401" s="85" t="s">
        <v>588</v>
      </c>
    </row>
    <row r="402" spans="1:8" s="20" customFormat="1" ht="56.25" customHeight="1">
      <c r="A402" s="21"/>
      <c r="B402" s="25" t="s">
        <v>284</v>
      </c>
      <c r="C402" s="31" t="s">
        <v>35</v>
      </c>
      <c r="D402" s="36"/>
      <c r="E402" s="23"/>
      <c r="F402" s="7"/>
      <c r="G402" s="7"/>
      <c r="H402" s="178"/>
    </row>
    <row r="403" spans="1:8" s="20" customFormat="1" ht="66" customHeight="1">
      <c r="A403" s="21"/>
      <c r="B403" s="22" t="s">
        <v>239</v>
      </c>
      <c r="C403" s="3" t="s">
        <v>240</v>
      </c>
      <c r="D403" s="18" t="s">
        <v>4</v>
      </c>
      <c r="E403" s="23">
        <f>3*3</f>
        <v>9</v>
      </c>
      <c r="F403" s="7">
        <f>(3230000-(8%*3230000)-150000)*40%</f>
        <v>1128640</v>
      </c>
      <c r="G403" s="7">
        <f>F403*E403</f>
        <v>10157760</v>
      </c>
      <c r="H403" s="69" t="s">
        <v>474</v>
      </c>
    </row>
    <row r="404" spans="1:8" s="20" customFormat="1" ht="33" customHeight="1">
      <c r="A404" s="21"/>
      <c r="B404" s="21"/>
      <c r="C404" s="1" t="s">
        <v>232</v>
      </c>
      <c r="D404" s="18" t="s">
        <v>4</v>
      </c>
      <c r="E404" s="23">
        <f>3*1.8</f>
        <v>5.4</v>
      </c>
      <c r="F404" s="8">
        <f>498000*40%</f>
        <v>199200</v>
      </c>
      <c r="G404" s="7">
        <f>F404*E404</f>
        <v>1075680</v>
      </c>
      <c r="H404" s="178" t="s">
        <v>458</v>
      </c>
    </row>
    <row r="405" spans="1:8" s="20" customFormat="1" ht="33.75" customHeight="1">
      <c r="A405" s="21"/>
      <c r="B405" s="21"/>
      <c r="C405" s="1" t="s">
        <v>41</v>
      </c>
      <c r="D405" s="18" t="s">
        <v>4</v>
      </c>
      <c r="E405" s="23">
        <f>3*2.7</f>
        <v>8.100000000000001</v>
      </c>
      <c r="F405" s="8">
        <v>0</v>
      </c>
      <c r="G405" s="7">
        <f>F405*E405</f>
        <v>0</v>
      </c>
      <c r="H405" s="90" t="s">
        <v>540</v>
      </c>
    </row>
    <row r="406" spans="1:8" s="20" customFormat="1" ht="24.75" customHeight="1">
      <c r="A406" s="26"/>
      <c r="B406" s="26" t="s">
        <v>6</v>
      </c>
      <c r="C406" s="27"/>
      <c r="D406" s="37"/>
      <c r="E406" s="29"/>
      <c r="F406" s="9"/>
      <c r="G406" s="30">
        <f>SUM(G400:G405)</f>
        <v>34860624</v>
      </c>
      <c r="H406" s="68"/>
    </row>
    <row r="407" spans="1:8" s="20" customFormat="1" ht="24.75" customHeight="1">
      <c r="A407" s="161"/>
      <c r="B407" s="162"/>
      <c r="C407" s="163"/>
      <c r="D407" s="164"/>
      <c r="E407" s="165"/>
      <c r="F407" s="166"/>
      <c r="G407" s="167"/>
      <c r="H407" s="168"/>
    </row>
    <row r="408" spans="1:8" s="20" customFormat="1" ht="37.5" customHeight="1">
      <c r="A408" s="161" t="s">
        <v>539</v>
      </c>
      <c r="B408" s="201" t="s">
        <v>592</v>
      </c>
      <c r="C408" s="201"/>
      <c r="D408" s="201"/>
      <c r="E408" s="201"/>
      <c r="F408" s="201"/>
      <c r="G408" s="30"/>
      <c r="H408" s="168"/>
    </row>
    <row r="409" spans="1:8" s="20" customFormat="1" ht="28.5" customHeight="1">
      <c r="A409" s="175" t="s">
        <v>591</v>
      </c>
      <c r="B409" s="193" t="s">
        <v>593</v>
      </c>
      <c r="C409" s="194"/>
      <c r="D409" s="194"/>
      <c r="E409" s="194"/>
      <c r="F409" s="195"/>
      <c r="G409" s="151"/>
      <c r="H409" s="156"/>
    </row>
    <row r="410" spans="1:8" s="20" customFormat="1" ht="135.75" customHeight="1">
      <c r="A410" s="16">
        <v>1</v>
      </c>
      <c r="B410" s="17" t="s">
        <v>531</v>
      </c>
      <c r="C410" s="5" t="s">
        <v>302</v>
      </c>
      <c r="D410" s="45" t="s">
        <v>4</v>
      </c>
      <c r="E410" s="19">
        <f>5.5*4</f>
        <v>22</v>
      </c>
      <c r="F410" s="15">
        <f>736000*40%</f>
        <v>294400</v>
      </c>
      <c r="G410" s="15">
        <f>F410*E410</f>
        <v>6476800</v>
      </c>
      <c r="H410" s="88" t="s">
        <v>475</v>
      </c>
    </row>
    <row r="411" spans="1:8" s="20" customFormat="1" ht="124.5" customHeight="1">
      <c r="A411" s="21"/>
      <c r="B411" s="25" t="s">
        <v>295</v>
      </c>
      <c r="C411" s="1" t="s">
        <v>7</v>
      </c>
      <c r="D411" s="18" t="s">
        <v>4</v>
      </c>
      <c r="E411" s="23">
        <f>3*4</f>
        <v>12</v>
      </c>
      <c r="F411" s="7">
        <f>498000*40%</f>
        <v>199200</v>
      </c>
      <c r="G411" s="7">
        <f>F411*E411</f>
        <v>2390400</v>
      </c>
      <c r="H411" s="72" t="s">
        <v>476</v>
      </c>
    </row>
    <row r="412" spans="1:8" s="20" customFormat="1" ht="24" customHeight="1">
      <c r="A412" s="21"/>
      <c r="B412" s="22" t="s">
        <v>304</v>
      </c>
      <c r="C412" s="40"/>
      <c r="D412" s="40"/>
      <c r="E412" s="40"/>
      <c r="F412" s="40"/>
      <c r="G412" s="40"/>
      <c r="H412" s="70"/>
    </row>
    <row r="413" spans="1:8" s="20" customFormat="1" ht="21.75" customHeight="1">
      <c r="A413" s="26"/>
      <c r="B413" s="26" t="s">
        <v>6</v>
      </c>
      <c r="C413" s="27"/>
      <c r="D413" s="28"/>
      <c r="E413" s="29"/>
      <c r="F413" s="9"/>
      <c r="G413" s="30">
        <f>SUM(G410:G412)</f>
        <v>8867200</v>
      </c>
      <c r="H413" s="68"/>
    </row>
    <row r="414" spans="1:8" s="20" customFormat="1" ht="123.75" customHeight="1">
      <c r="A414" s="16">
        <v>2</v>
      </c>
      <c r="B414" s="17" t="s">
        <v>311</v>
      </c>
      <c r="C414" s="1" t="s">
        <v>7</v>
      </c>
      <c r="D414" s="18" t="s">
        <v>4</v>
      </c>
      <c r="E414" s="23">
        <f>10.4*7.3</f>
        <v>75.92</v>
      </c>
      <c r="F414" s="7">
        <f>498000*40%</f>
        <v>199200</v>
      </c>
      <c r="G414" s="7">
        <f>F414*E414</f>
        <v>15123264</v>
      </c>
      <c r="H414" s="72" t="s">
        <v>477</v>
      </c>
    </row>
    <row r="415" spans="1:8" s="20" customFormat="1" ht="87.75" customHeight="1">
      <c r="A415" s="21"/>
      <c r="B415" s="25" t="s">
        <v>352</v>
      </c>
      <c r="C415" s="1" t="s">
        <v>312</v>
      </c>
      <c r="D415" s="18" t="s">
        <v>313</v>
      </c>
      <c r="E415" s="23">
        <v>3</v>
      </c>
      <c r="F415" s="7">
        <v>0</v>
      </c>
      <c r="G415" s="7">
        <f>F415*E415</f>
        <v>0</v>
      </c>
      <c r="H415" s="90" t="s">
        <v>540</v>
      </c>
    </row>
    <row r="416" spans="1:8" s="20" customFormat="1" ht="21.75" customHeight="1">
      <c r="A416" s="130"/>
      <c r="B416" s="130" t="s">
        <v>6</v>
      </c>
      <c r="C416" s="131"/>
      <c r="D416" s="132"/>
      <c r="E416" s="133"/>
      <c r="F416" s="134"/>
      <c r="G416" s="135">
        <f>SUM(G414:G415)</f>
        <v>15123264</v>
      </c>
      <c r="H416" s="136"/>
    </row>
    <row r="417" spans="1:8" s="20" customFormat="1" ht="135" customHeight="1">
      <c r="A417" s="47">
        <v>3</v>
      </c>
      <c r="B417" s="86" t="s">
        <v>520</v>
      </c>
      <c r="C417" s="1" t="s">
        <v>364</v>
      </c>
      <c r="D417" s="32" t="s">
        <v>4</v>
      </c>
      <c r="E417" s="23">
        <f>2*7.5</f>
        <v>15</v>
      </c>
      <c r="F417" s="7">
        <f>(3230000-160000)*40%</f>
        <v>1228000</v>
      </c>
      <c r="G417" s="7">
        <f>F417*E417</f>
        <v>18420000</v>
      </c>
      <c r="H417" s="72" t="s">
        <v>478</v>
      </c>
    </row>
    <row r="418" spans="1:8" s="20" customFormat="1" ht="64.5" customHeight="1">
      <c r="A418" s="21"/>
      <c r="B418" s="25" t="s">
        <v>353</v>
      </c>
      <c r="C418" s="31"/>
      <c r="D418" s="32"/>
      <c r="E418" s="23"/>
      <c r="F418" s="7"/>
      <c r="G418" s="7"/>
      <c r="H418" s="71"/>
    </row>
    <row r="419" spans="1:8" s="20" customFormat="1" ht="28.5" customHeight="1">
      <c r="A419" s="21"/>
      <c r="B419" s="22" t="s">
        <v>314</v>
      </c>
      <c r="C419" s="3"/>
      <c r="D419" s="18"/>
      <c r="E419" s="23"/>
      <c r="F419" s="7"/>
      <c r="G419" s="7"/>
      <c r="H419" s="69"/>
    </row>
    <row r="420" spans="1:8" s="20" customFormat="1" ht="28.5" customHeight="1">
      <c r="A420" s="26"/>
      <c r="B420" s="26" t="s">
        <v>6</v>
      </c>
      <c r="C420" s="27"/>
      <c r="D420" s="28"/>
      <c r="E420" s="29"/>
      <c r="F420" s="9"/>
      <c r="G420" s="30">
        <f>SUM(G417:G419)</f>
        <v>18420000</v>
      </c>
      <c r="H420" s="68"/>
    </row>
    <row r="421" spans="1:8" s="20" customFormat="1" ht="126" customHeight="1">
      <c r="A421" s="16">
        <v>4</v>
      </c>
      <c r="B421" s="17" t="s">
        <v>315</v>
      </c>
      <c r="C421" s="1" t="s">
        <v>7</v>
      </c>
      <c r="D421" s="18" t="s">
        <v>4</v>
      </c>
      <c r="E421" s="23">
        <f>9*8</f>
        <v>72</v>
      </c>
      <c r="F421" s="7">
        <f>498000*40%</f>
        <v>199200</v>
      </c>
      <c r="G421" s="7">
        <f>F421*E421</f>
        <v>14342400</v>
      </c>
      <c r="H421" s="72" t="s">
        <v>477</v>
      </c>
    </row>
    <row r="422" spans="1:8" s="20" customFormat="1" ht="113.25" customHeight="1">
      <c r="A422" s="21"/>
      <c r="B422" s="22" t="s">
        <v>316</v>
      </c>
      <c r="C422" s="1" t="s">
        <v>370</v>
      </c>
      <c r="D422" s="18" t="s">
        <v>4</v>
      </c>
      <c r="E422" s="23">
        <f>(5.23*13.1)+(5.6*2.3)</f>
        <v>81.393</v>
      </c>
      <c r="F422" s="7">
        <f>736000*40%</f>
        <v>294400</v>
      </c>
      <c r="G422" s="7">
        <f>F422*E422</f>
        <v>23962099.2</v>
      </c>
      <c r="H422" s="72" t="s">
        <v>479</v>
      </c>
    </row>
    <row r="423" spans="1:8" s="20" customFormat="1" ht="61.5" customHeight="1">
      <c r="A423" s="21"/>
      <c r="B423" s="25" t="s">
        <v>605</v>
      </c>
      <c r="C423" s="1"/>
      <c r="D423" s="32"/>
      <c r="E423" s="23"/>
      <c r="F423" s="7"/>
      <c r="G423" s="7"/>
      <c r="H423" s="69"/>
    </row>
    <row r="424" spans="1:8" s="20" customFormat="1" ht="28.5" customHeight="1">
      <c r="A424" s="26"/>
      <c r="B424" s="26" t="s">
        <v>6</v>
      </c>
      <c r="C424" s="27"/>
      <c r="D424" s="28"/>
      <c r="E424" s="29"/>
      <c r="F424" s="9"/>
      <c r="G424" s="30">
        <f>SUM(G421:G423)</f>
        <v>38304499.2</v>
      </c>
      <c r="H424" s="68"/>
    </row>
    <row r="425" spans="1:8" s="20" customFormat="1" ht="129.75" customHeight="1">
      <c r="A425" s="16">
        <v>5</v>
      </c>
      <c r="B425" s="39" t="s">
        <v>441</v>
      </c>
      <c r="C425" s="1" t="s">
        <v>7</v>
      </c>
      <c r="D425" s="18" t="s">
        <v>4</v>
      </c>
      <c r="E425" s="23">
        <f>7.6*4</f>
        <v>30.4</v>
      </c>
      <c r="F425" s="7">
        <f>498000*40%</f>
        <v>199200</v>
      </c>
      <c r="G425" s="7">
        <f>F425*E425</f>
        <v>6055680</v>
      </c>
      <c r="H425" s="72" t="s">
        <v>477</v>
      </c>
    </row>
    <row r="426" spans="1:8" s="20" customFormat="1" ht="60.75" customHeight="1">
      <c r="A426" s="21"/>
      <c r="B426" s="33" t="s">
        <v>354</v>
      </c>
      <c r="C426" s="3"/>
      <c r="D426" s="18"/>
      <c r="E426" s="23"/>
      <c r="F426" s="7"/>
      <c r="G426" s="7"/>
      <c r="H426" s="69"/>
    </row>
    <row r="427" spans="1:8" s="20" customFormat="1" ht="24.75" customHeight="1">
      <c r="A427" s="21"/>
      <c r="B427" s="24" t="s">
        <v>317</v>
      </c>
      <c r="C427" s="1"/>
      <c r="D427" s="18"/>
      <c r="E427" s="23"/>
      <c r="F427" s="8"/>
      <c r="G427" s="7"/>
      <c r="H427" s="71"/>
    </row>
    <row r="428" spans="1:8" s="20" customFormat="1" ht="22.5" customHeight="1">
      <c r="A428" s="26"/>
      <c r="B428" s="26" t="s">
        <v>6</v>
      </c>
      <c r="C428" s="27"/>
      <c r="D428" s="28"/>
      <c r="E428" s="29"/>
      <c r="F428" s="9"/>
      <c r="G428" s="30">
        <f>SUM(G425:G427)</f>
        <v>6055680</v>
      </c>
      <c r="H428" s="68"/>
    </row>
    <row r="429" spans="1:8" s="20" customFormat="1" ht="128.25" customHeight="1">
      <c r="A429" s="16">
        <v>6</v>
      </c>
      <c r="B429" s="17" t="s">
        <v>318</v>
      </c>
      <c r="C429" s="1" t="s">
        <v>319</v>
      </c>
      <c r="D429" s="18" t="s">
        <v>4</v>
      </c>
      <c r="E429" s="23">
        <f>4*4.8</f>
        <v>19.2</v>
      </c>
      <c r="F429" s="7">
        <f>3230000*40%</f>
        <v>1292000</v>
      </c>
      <c r="G429" s="7">
        <f>F429*E429</f>
        <v>24806400</v>
      </c>
      <c r="H429" s="72" t="s">
        <v>480</v>
      </c>
    </row>
    <row r="430" spans="1:8" s="20" customFormat="1" ht="123.75" customHeight="1">
      <c r="A430" s="21"/>
      <c r="B430" s="25" t="s">
        <v>355</v>
      </c>
      <c r="C430" s="1" t="s">
        <v>7</v>
      </c>
      <c r="D430" s="18" t="s">
        <v>4</v>
      </c>
      <c r="E430" s="23">
        <f>1.5*4</f>
        <v>6</v>
      </c>
      <c r="F430" s="7">
        <f>498000*40%</f>
        <v>199200</v>
      </c>
      <c r="G430" s="7">
        <f>F430*E430</f>
        <v>1195200</v>
      </c>
      <c r="H430" s="72" t="s">
        <v>477</v>
      </c>
    </row>
    <row r="431" spans="1:8" s="20" customFormat="1" ht="26.25" customHeight="1">
      <c r="A431" s="21"/>
      <c r="B431" s="22" t="s">
        <v>320</v>
      </c>
      <c r="C431" s="40"/>
      <c r="D431" s="40"/>
      <c r="E431" s="40"/>
      <c r="F431" s="40"/>
      <c r="G431" s="40"/>
      <c r="H431" s="70"/>
    </row>
    <row r="432" spans="1:8" s="20" customFormat="1" ht="24.75" customHeight="1">
      <c r="A432" s="26"/>
      <c r="B432" s="26" t="s">
        <v>6</v>
      </c>
      <c r="C432" s="27"/>
      <c r="D432" s="28"/>
      <c r="E432" s="29"/>
      <c r="F432" s="9"/>
      <c r="G432" s="30">
        <f>SUM(G429:G431)</f>
        <v>26001600</v>
      </c>
      <c r="H432" s="68"/>
    </row>
    <row r="433" spans="1:8" s="20" customFormat="1" ht="116.25" customHeight="1">
      <c r="A433" s="16">
        <v>7</v>
      </c>
      <c r="B433" s="39" t="s">
        <v>442</v>
      </c>
      <c r="C433" s="1" t="s">
        <v>359</v>
      </c>
      <c r="D433" s="18" t="s">
        <v>4</v>
      </c>
      <c r="E433" s="23">
        <f>3.8*6</f>
        <v>22.799999999999997</v>
      </c>
      <c r="F433" s="8">
        <f>736000*40%</f>
        <v>294400</v>
      </c>
      <c r="G433" s="7">
        <f>F433*E433</f>
        <v>6712319.999999999</v>
      </c>
      <c r="H433" s="72" t="s">
        <v>479</v>
      </c>
    </row>
    <row r="434" spans="1:8" s="20" customFormat="1" ht="69" customHeight="1">
      <c r="A434" s="21"/>
      <c r="B434" s="33" t="s">
        <v>606</v>
      </c>
      <c r="C434" s="1" t="s">
        <v>307</v>
      </c>
      <c r="D434" s="18" t="s">
        <v>4</v>
      </c>
      <c r="E434" s="23">
        <f>3.6*1.77</f>
        <v>6.372</v>
      </c>
      <c r="F434" s="7">
        <v>0</v>
      </c>
      <c r="G434" s="7">
        <f>F434*E434</f>
        <v>0</v>
      </c>
      <c r="H434" s="90" t="s">
        <v>540</v>
      </c>
    </row>
    <row r="435" spans="1:8" s="20" customFormat="1" ht="21.75" customHeight="1">
      <c r="A435" s="26"/>
      <c r="B435" s="26" t="s">
        <v>6</v>
      </c>
      <c r="C435" s="27"/>
      <c r="D435" s="28"/>
      <c r="E435" s="29"/>
      <c r="F435" s="9"/>
      <c r="G435" s="30">
        <f>SUM(G433:G434)</f>
        <v>6712319.999999999</v>
      </c>
      <c r="H435" s="68"/>
    </row>
    <row r="436" spans="1:8" s="20" customFormat="1" ht="124.5" customHeight="1">
      <c r="A436" s="16">
        <v>8</v>
      </c>
      <c r="B436" s="17" t="s">
        <v>529</v>
      </c>
      <c r="C436" s="1" t="s">
        <v>7</v>
      </c>
      <c r="D436" s="18" t="s">
        <v>4</v>
      </c>
      <c r="E436" s="23">
        <f>5.5*4</f>
        <v>22</v>
      </c>
      <c r="F436" s="7">
        <f>498000*40%</f>
        <v>199200</v>
      </c>
      <c r="G436" s="7">
        <f>F436*E436</f>
        <v>4382400</v>
      </c>
      <c r="H436" s="72" t="s">
        <v>477</v>
      </c>
    </row>
    <row r="437" spans="1:8" s="20" customFormat="1" ht="24" customHeight="1">
      <c r="A437" s="21"/>
      <c r="B437" s="25" t="s">
        <v>303</v>
      </c>
      <c r="C437" s="31"/>
      <c r="D437" s="32"/>
      <c r="E437" s="23"/>
      <c r="F437" s="7"/>
      <c r="G437" s="7"/>
      <c r="H437" s="71"/>
    </row>
    <row r="438" spans="1:8" s="20" customFormat="1" ht="22.5" customHeight="1">
      <c r="A438" s="26"/>
      <c r="B438" s="26" t="s">
        <v>6</v>
      </c>
      <c r="C438" s="27"/>
      <c r="D438" s="28"/>
      <c r="E438" s="29"/>
      <c r="F438" s="9"/>
      <c r="G438" s="30">
        <f>SUM(G436:G437)</f>
        <v>4382400</v>
      </c>
      <c r="H438" s="68"/>
    </row>
    <row r="439" spans="1:8" s="20" customFormat="1" ht="103.5" customHeight="1">
      <c r="A439" s="16">
        <v>9</v>
      </c>
      <c r="B439" s="17" t="s">
        <v>321</v>
      </c>
      <c r="C439" s="1" t="s">
        <v>232</v>
      </c>
      <c r="D439" s="18" t="s">
        <v>4</v>
      </c>
      <c r="E439" s="23">
        <f>2*4</f>
        <v>8</v>
      </c>
      <c r="F439" s="7">
        <f>498000*40%</f>
        <v>199200</v>
      </c>
      <c r="G439" s="7">
        <f>F439*E439</f>
        <v>1593600</v>
      </c>
      <c r="H439" s="88" t="s">
        <v>477</v>
      </c>
    </row>
    <row r="440" spans="1:8" s="20" customFormat="1" ht="105.75" customHeight="1">
      <c r="A440" s="21"/>
      <c r="B440" s="22" t="s">
        <v>322</v>
      </c>
      <c r="C440" s="1" t="s">
        <v>360</v>
      </c>
      <c r="D440" s="18" t="s">
        <v>4</v>
      </c>
      <c r="E440" s="23">
        <f>4*3.1</f>
        <v>12.4</v>
      </c>
      <c r="F440" s="8">
        <f>736000*40%</f>
        <v>294400</v>
      </c>
      <c r="G440" s="7">
        <f>F440*E440</f>
        <v>3650560</v>
      </c>
      <c r="H440" s="72" t="s">
        <v>475</v>
      </c>
    </row>
    <row r="441" spans="1:8" s="20" customFormat="1" ht="108" customHeight="1">
      <c r="A441" s="21"/>
      <c r="B441" s="25" t="s">
        <v>443</v>
      </c>
      <c r="C441" s="1" t="s">
        <v>365</v>
      </c>
      <c r="D441" s="18" t="s">
        <v>4</v>
      </c>
      <c r="E441" s="23">
        <f>2.4*4</f>
        <v>9.6</v>
      </c>
      <c r="F441" s="7">
        <f>821000*40%</f>
        <v>328400</v>
      </c>
      <c r="G441" s="7">
        <f>F441*E441</f>
        <v>3152640</v>
      </c>
      <c r="H441" s="69" t="s">
        <v>481</v>
      </c>
    </row>
    <row r="442" spans="1:8" s="20" customFormat="1" ht="22.5" customHeight="1">
      <c r="A442" s="26"/>
      <c r="B442" s="26" t="s">
        <v>6</v>
      </c>
      <c r="C442" s="27"/>
      <c r="D442" s="28"/>
      <c r="E442" s="29"/>
      <c r="F442" s="9"/>
      <c r="G442" s="30">
        <f>SUM(G439:G441)</f>
        <v>8396800</v>
      </c>
      <c r="H442" s="68"/>
    </row>
    <row r="443" spans="1:8" s="20" customFormat="1" ht="68.25" customHeight="1">
      <c r="A443" s="16">
        <v>10</v>
      </c>
      <c r="B443" s="39" t="s">
        <v>445</v>
      </c>
      <c r="C443" s="3" t="s">
        <v>7</v>
      </c>
      <c r="D443" s="18" t="s">
        <v>4</v>
      </c>
      <c r="E443" s="35">
        <f>4.4*4</f>
        <v>17.6</v>
      </c>
      <c r="F443" s="7">
        <f>498000*40%</f>
        <v>199200</v>
      </c>
      <c r="G443" s="8">
        <f>F443*E443</f>
        <v>3505920.0000000005</v>
      </c>
      <c r="H443" s="189" t="s">
        <v>477</v>
      </c>
    </row>
    <row r="444" spans="1:8" s="20" customFormat="1" ht="21.75" customHeight="1">
      <c r="A444" s="21"/>
      <c r="B444" s="25" t="s">
        <v>295</v>
      </c>
      <c r="C444" s="3"/>
      <c r="D444" s="18"/>
      <c r="E444" s="35"/>
      <c r="F444" s="8"/>
      <c r="G444" s="8"/>
      <c r="H444" s="190"/>
    </row>
    <row r="445" spans="1:8" s="20" customFormat="1" ht="34.5" customHeight="1">
      <c r="A445" s="21"/>
      <c r="B445" s="22" t="s">
        <v>326</v>
      </c>
      <c r="C445" s="31"/>
      <c r="D445" s="32"/>
      <c r="E445" s="23"/>
      <c r="F445" s="7"/>
      <c r="G445" s="7"/>
      <c r="H445" s="190"/>
    </row>
    <row r="446" spans="1:8" s="20" customFormat="1" ht="21.75" customHeight="1">
      <c r="A446" s="26"/>
      <c r="B446" s="26" t="s">
        <v>6</v>
      </c>
      <c r="C446" s="27"/>
      <c r="D446" s="28"/>
      <c r="E446" s="29"/>
      <c r="F446" s="9"/>
      <c r="G446" s="30">
        <f>SUM(G443:G445)</f>
        <v>3505920.0000000005</v>
      </c>
      <c r="H446" s="68"/>
    </row>
    <row r="447" spans="1:8" s="20" customFormat="1" ht="65.25" customHeight="1">
      <c r="A447" s="16">
        <v>11</v>
      </c>
      <c r="B447" s="17" t="s">
        <v>101</v>
      </c>
      <c r="C447" s="1" t="s">
        <v>327</v>
      </c>
      <c r="D447" s="18" t="s">
        <v>4</v>
      </c>
      <c r="E447" s="23">
        <f>6.8*4</f>
        <v>27.2</v>
      </c>
      <c r="F447" s="7">
        <f>498000*40%</f>
        <v>199200</v>
      </c>
      <c r="G447" s="7">
        <f>F447*E447</f>
        <v>5418240</v>
      </c>
      <c r="H447" s="189" t="s">
        <v>477</v>
      </c>
    </row>
    <row r="448" spans="1:8" s="20" customFormat="1" ht="62.25" customHeight="1">
      <c r="A448" s="21"/>
      <c r="B448" s="25" t="s">
        <v>328</v>
      </c>
      <c r="C448" s="31"/>
      <c r="D448" s="32"/>
      <c r="E448" s="23"/>
      <c r="F448" s="7"/>
      <c r="G448" s="7"/>
      <c r="H448" s="190"/>
    </row>
    <row r="449" spans="1:8" s="20" customFormat="1" ht="21" customHeight="1">
      <c r="A449" s="21"/>
      <c r="B449" s="22" t="s">
        <v>329</v>
      </c>
      <c r="C449" s="3"/>
      <c r="D449" s="18"/>
      <c r="E449" s="23"/>
      <c r="F449" s="7"/>
      <c r="G449" s="7"/>
      <c r="H449" s="191"/>
    </row>
    <row r="450" spans="1:8" s="20" customFormat="1" ht="21" customHeight="1">
      <c r="A450" s="26"/>
      <c r="B450" s="26" t="s">
        <v>6</v>
      </c>
      <c r="C450" s="27"/>
      <c r="D450" s="28"/>
      <c r="E450" s="29"/>
      <c r="F450" s="9"/>
      <c r="G450" s="30">
        <f>SUM(G447:G449)</f>
        <v>5418240</v>
      </c>
      <c r="H450" s="68"/>
    </row>
    <row r="451" spans="1:8" s="20" customFormat="1" ht="52.5" customHeight="1">
      <c r="A451" s="16">
        <v>12</v>
      </c>
      <c r="B451" s="17" t="s">
        <v>330</v>
      </c>
      <c r="C451" s="1" t="s">
        <v>327</v>
      </c>
      <c r="D451" s="18" t="s">
        <v>4</v>
      </c>
      <c r="E451" s="23">
        <f>6.8*4</f>
        <v>27.2</v>
      </c>
      <c r="F451" s="7">
        <f>498000*40%</f>
        <v>199200</v>
      </c>
      <c r="G451" s="7">
        <f>F451*E451</f>
        <v>5418240</v>
      </c>
      <c r="H451" s="189" t="s">
        <v>477</v>
      </c>
    </row>
    <row r="452" spans="1:8" s="20" customFormat="1" ht="69" customHeight="1">
      <c r="A452" s="21"/>
      <c r="B452" s="25" t="s">
        <v>328</v>
      </c>
      <c r="C452" s="31"/>
      <c r="D452" s="32"/>
      <c r="E452" s="23"/>
      <c r="F452" s="7"/>
      <c r="G452" s="7"/>
      <c r="H452" s="190"/>
    </row>
    <row r="453" spans="1:8" s="20" customFormat="1" ht="24" customHeight="1">
      <c r="A453" s="21"/>
      <c r="B453" s="22" t="s">
        <v>358</v>
      </c>
      <c r="C453" s="3"/>
      <c r="D453" s="18"/>
      <c r="E453" s="23"/>
      <c r="F453" s="7"/>
      <c r="G453" s="7"/>
      <c r="H453" s="191"/>
    </row>
    <row r="454" spans="1:8" s="20" customFormat="1" ht="24" customHeight="1">
      <c r="A454" s="26"/>
      <c r="B454" s="26" t="s">
        <v>6</v>
      </c>
      <c r="C454" s="27"/>
      <c r="D454" s="28"/>
      <c r="E454" s="29"/>
      <c r="F454" s="9"/>
      <c r="G454" s="30">
        <f>SUM(G451:G453)</f>
        <v>5418240</v>
      </c>
      <c r="H454" s="68"/>
    </row>
    <row r="455" spans="1:8" s="20" customFormat="1" ht="120.75" customHeight="1">
      <c r="A455" s="16">
        <v>13</v>
      </c>
      <c r="B455" s="17" t="s">
        <v>107</v>
      </c>
      <c r="C455" s="1" t="s">
        <v>331</v>
      </c>
      <c r="D455" s="18" t="s">
        <v>4</v>
      </c>
      <c r="E455" s="23">
        <f>7.1*4</f>
        <v>28.4</v>
      </c>
      <c r="F455" s="7">
        <f>736000*40%</f>
        <v>294400</v>
      </c>
      <c r="G455" s="7">
        <f>F455*E455</f>
        <v>8360960</v>
      </c>
      <c r="H455" s="88" t="s">
        <v>475</v>
      </c>
    </row>
    <row r="456" spans="1:8" s="20" customFormat="1" ht="89.25" customHeight="1">
      <c r="A456" s="21"/>
      <c r="B456" s="25" t="s">
        <v>332</v>
      </c>
      <c r="C456" s="1" t="s">
        <v>41</v>
      </c>
      <c r="D456" s="18" t="s">
        <v>4</v>
      </c>
      <c r="E456" s="23">
        <f>4*2.7</f>
        <v>10.8</v>
      </c>
      <c r="F456" s="7">
        <v>0</v>
      </c>
      <c r="G456" s="7">
        <f>F456*E456</f>
        <v>0</v>
      </c>
      <c r="H456" s="90" t="s">
        <v>540</v>
      </c>
    </row>
    <row r="457" spans="1:8" s="20" customFormat="1" ht="21.75" customHeight="1">
      <c r="A457" s="21"/>
      <c r="B457" s="22" t="s">
        <v>108</v>
      </c>
      <c r="C457" s="40"/>
      <c r="D457" s="40"/>
      <c r="E457" s="40"/>
      <c r="F457" s="40"/>
      <c r="G457" s="40"/>
      <c r="H457" s="70"/>
    </row>
    <row r="458" spans="1:8" s="20" customFormat="1" ht="21" customHeight="1">
      <c r="A458" s="26"/>
      <c r="B458" s="26" t="s">
        <v>6</v>
      </c>
      <c r="C458" s="27"/>
      <c r="D458" s="28"/>
      <c r="E458" s="29"/>
      <c r="F458" s="9"/>
      <c r="G458" s="30">
        <f>SUM(G455:G457)</f>
        <v>8360960</v>
      </c>
      <c r="H458" s="68"/>
    </row>
    <row r="459" spans="1:8" s="20" customFormat="1" ht="129" customHeight="1">
      <c r="A459" s="16">
        <v>14</v>
      </c>
      <c r="B459" s="39" t="s">
        <v>446</v>
      </c>
      <c r="C459" s="3" t="s">
        <v>333</v>
      </c>
      <c r="D459" s="18" t="s">
        <v>4</v>
      </c>
      <c r="E459" s="35">
        <f>5.8*4</f>
        <v>23.2</v>
      </c>
      <c r="F459" s="7">
        <f>736000*40%</f>
        <v>294400</v>
      </c>
      <c r="G459" s="7">
        <f>F459*E459</f>
        <v>6830080</v>
      </c>
      <c r="H459" s="88" t="s">
        <v>475</v>
      </c>
    </row>
    <row r="460" spans="1:8" s="20" customFormat="1" ht="78" customHeight="1">
      <c r="A460" s="2"/>
      <c r="B460" s="25" t="s">
        <v>447</v>
      </c>
      <c r="C460" s="1" t="s">
        <v>41</v>
      </c>
      <c r="D460" s="18" t="s">
        <v>4</v>
      </c>
      <c r="E460" s="23">
        <f>4*2.7</f>
        <v>10.8</v>
      </c>
      <c r="F460" s="7">
        <v>0</v>
      </c>
      <c r="G460" s="7">
        <f>F460*E460</f>
        <v>0</v>
      </c>
      <c r="H460" s="90" t="s">
        <v>540</v>
      </c>
    </row>
    <row r="461" spans="1:8" s="20" customFormat="1" ht="21.75" customHeight="1">
      <c r="A461" s="26"/>
      <c r="B461" s="26" t="s">
        <v>6</v>
      </c>
      <c r="C461" s="27"/>
      <c r="D461" s="28"/>
      <c r="E461" s="29"/>
      <c r="F461" s="9"/>
      <c r="G461" s="30">
        <f>SUM(G459:G460)</f>
        <v>6830080</v>
      </c>
      <c r="H461" s="68"/>
    </row>
    <row r="462" spans="1:8" s="20" customFormat="1" ht="129" customHeight="1">
      <c r="A462" s="16">
        <v>15</v>
      </c>
      <c r="B462" s="17" t="s">
        <v>334</v>
      </c>
      <c r="C462" s="1" t="s">
        <v>336</v>
      </c>
      <c r="D462" s="18" t="s">
        <v>4</v>
      </c>
      <c r="E462" s="23">
        <f>3.3*3.3</f>
        <v>10.889999999999999</v>
      </c>
      <c r="F462" s="7">
        <f>3230000*40%</f>
        <v>1292000</v>
      </c>
      <c r="G462" s="7">
        <f>F462*E462</f>
        <v>14069879.999999998</v>
      </c>
      <c r="H462" s="88" t="s">
        <v>482</v>
      </c>
    </row>
    <row r="463" spans="1:8" s="20" customFormat="1" ht="124.5" customHeight="1">
      <c r="A463" s="21"/>
      <c r="B463" s="22" t="s">
        <v>335</v>
      </c>
      <c r="C463" s="1" t="s">
        <v>55</v>
      </c>
      <c r="D463" s="18" t="s">
        <v>4</v>
      </c>
      <c r="E463" s="23">
        <f>1.6*3.3</f>
        <v>5.28</v>
      </c>
      <c r="F463" s="7">
        <f>736000*40%</f>
        <v>294400</v>
      </c>
      <c r="G463" s="7">
        <f>F463*E463</f>
        <v>1554432</v>
      </c>
      <c r="H463" s="88" t="s">
        <v>475</v>
      </c>
    </row>
    <row r="464" spans="1:8" s="20" customFormat="1" ht="118.5" customHeight="1">
      <c r="A464" s="21"/>
      <c r="B464" s="25" t="s">
        <v>487</v>
      </c>
      <c r="C464" s="3" t="s">
        <v>41</v>
      </c>
      <c r="D464" s="18" t="s">
        <v>4</v>
      </c>
      <c r="E464" s="23">
        <f>3.3*2.7</f>
        <v>8.91</v>
      </c>
      <c r="F464" s="7">
        <v>0</v>
      </c>
      <c r="G464" s="7">
        <f>F464*E464</f>
        <v>0</v>
      </c>
      <c r="H464" s="90" t="s">
        <v>540</v>
      </c>
    </row>
    <row r="465" spans="1:8" s="20" customFormat="1" ht="18" customHeight="1">
      <c r="A465" s="26"/>
      <c r="B465" s="26" t="s">
        <v>6</v>
      </c>
      <c r="C465" s="27"/>
      <c r="D465" s="28"/>
      <c r="E465" s="29"/>
      <c r="F465" s="9"/>
      <c r="G465" s="30">
        <f>SUM(G462:G464)</f>
        <v>15624311.999999998</v>
      </c>
      <c r="H465" s="68"/>
    </row>
    <row r="466" spans="1:8" s="20" customFormat="1" ht="130.5" customHeight="1">
      <c r="A466" s="16">
        <v>16</v>
      </c>
      <c r="B466" s="17" t="s">
        <v>337</v>
      </c>
      <c r="C466" s="1" t="s">
        <v>338</v>
      </c>
      <c r="D466" s="18" t="s">
        <v>4</v>
      </c>
      <c r="E466" s="23">
        <f>3*4</f>
        <v>12</v>
      </c>
      <c r="F466" s="7">
        <f>736000*40%</f>
        <v>294400</v>
      </c>
      <c r="G466" s="7">
        <f>F466*E466</f>
        <v>3532800</v>
      </c>
      <c r="H466" s="88" t="s">
        <v>475</v>
      </c>
    </row>
    <row r="467" spans="1:8" s="20" customFormat="1" ht="106.5" customHeight="1">
      <c r="A467" s="21"/>
      <c r="B467" s="33" t="s">
        <v>432</v>
      </c>
      <c r="C467" s="1" t="s">
        <v>41</v>
      </c>
      <c r="D467" s="18" t="s">
        <v>4</v>
      </c>
      <c r="E467" s="23">
        <f>4*2.7</f>
        <v>10.8</v>
      </c>
      <c r="F467" s="7">
        <v>0</v>
      </c>
      <c r="G467" s="7">
        <f>F467*E467</f>
        <v>0</v>
      </c>
      <c r="H467" s="69"/>
    </row>
    <row r="468" spans="1:8" s="20" customFormat="1" ht="21.75" customHeight="1">
      <c r="A468" s="26"/>
      <c r="B468" s="26" t="s">
        <v>6</v>
      </c>
      <c r="C468" s="27"/>
      <c r="D468" s="28"/>
      <c r="E468" s="29"/>
      <c r="F468" s="9"/>
      <c r="G468" s="30">
        <f>SUM(G466:G467)</f>
        <v>3532800</v>
      </c>
      <c r="H468" s="68"/>
    </row>
    <row r="469" spans="1:8" s="20" customFormat="1" ht="126" customHeight="1">
      <c r="A469" s="16">
        <v>17</v>
      </c>
      <c r="B469" s="17" t="s">
        <v>339</v>
      </c>
      <c r="C469" s="1" t="s">
        <v>341</v>
      </c>
      <c r="D469" s="18" t="s">
        <v>4</v>
      </c>
      <c r="E469" s="23">
        <f>4*2.9</f>
        <v>11.6</v>
      </c>
      <c r="F469" s="7">
        <f>3230000*40%</f>
        <v>1292000</v>
      </c>
      <c r="G469" s="7">
        <f>F469*E469</f>
        <v>14987200</v>
      </c>
      <c r="H469" s="88" t="s">
        <v>482</v>
      </c>
    </row>
    <row r="470" spans="1:8" s="20" customFormat="1" ht="120.75" customHeight="1">
      <c r="A470" s="21"/>
      <c r="B470" s="22" t="s">
        <v>340</v>
      </c>
      <c r="C470" s="1" t="s">
        <v>342</v>
      </c>
      <c r="D470" s="18" t="s">
        <v>4</v>
      </c>
      <c r="E470" s="23">
        <f>3.2*4</f>
        <v>12.8</v>
      </c>
      <c r="F470" s="7">
        <f>736000*40%</f>
        <v>294400</v>
      </c>
      <c r="G470" s="7">
        <f>F470*E470</f>
        <v>3768320</v>
      </c>
      <c r="H470" s="69" t="s">
        <v>475</v>
      </c>
    </row>
    <row r="471" spans="1:8" s="20" customFormat="1" ht="90.75" customHeight="1">
      <c r="A471" s="21"/>
      <c r="B471" s="25" t="s">
        <v>433</v>
      </c>
      <c r="C471" s="3" t="s">
        <v>41</v>
      </c>
      <c r="D471" s="18" t="s">
        <v>4</v>
      </c>
      <c r="E471" s="23">
        <f>4*2.7</f>
        <v>10.8</v>
      </c>
      <c r="F471" s="7">
        <v>0</v>
      </c>
      <c r="G471" s="7">
        <f>F471*E471</f>
        <v>0</v>
      </c>
      <c r="H471" s="90" t="s">
        <v>540</v>
      </c>
    </row>
    <row r="472" spans="1:8" s="20" customFormat="1" ht="23.25" customHeight="1">
      <c r="A472" s="26"/>
      <c r="B472" s="26" t="s">
        <v>6</v>
      </c>
      <c r="C472" s="27"/>
      <c r="D472" s="28"/>
      <c r="E472" s="29"/>
      <c r="F472" s="9"/>
      <c r="G472" s="30">
        <f>SUM(G469:G471)</f>
        <v>18755520</v>
      </c>
      <c r="H472" s="68"/>
    </row>
    <row r="473" spans="1:8" s="20" customFormat="1" ht="74.25" customHeight="1">
      <c r="A473" s="16">
        <v>18</v>
      </c>
      <c r="B473" s="17" t="s">
        <v>343</v>
      </c>
      <c r="C473" s="1" t="s">
        <v>402</v>
      </c>
      <c r="D473" s="18" t="s">
        <v>4</v>
      </c>
      <c r="E473" s="23">
        <f>8.43*8</f>
        <v>67.44</v>
      </c>
      <c r="F473" s="7">
        <f>736000*40%</f>
        <v>294400</v>
      </c>
      <c r="G473" s="7">
        <f>F473*E473</f>
        <v>19854336</v>
      </c>
      <c r="H473" s="189" t="s">
        <v>483</v>
      </c>
    </row>
    <row r="474" spans="1:8" s="20" customFormat="1" ht="69" customHeight="1">
      <c r="A474" s="21"/>
      <c r="B474" s="25" t="s">
        <v>357</v>
      </c>
      <c r="C474" s="1" t="s">
        <v>344</v>
      </c>
      <c r="D474" s="18" t="s">
        <v>4</v>
      </c>
      <c r="E474" s="23">
        <f>((5*3.7)/2)*5.5</f>
        <v>50.875</v>
      </c>
      <c r="F474" s="7">
        <f>736000*40%</f>
        <v>294400</v>
      </c>
      <c r="G474" s="7">
        <f>F474*E474</f>
        <v>14977600</v>
      </c>
      <c r="H474" s="192"/>
    </row>
    <row r="475" spans="1:8" s="20" customFormat="1" ht="30.75" customHeight="1">
      <c r="A475" s="21"/>
      <c r="B475" s="22" t="s">
        <v>345</v>
      </c>
      <c r="C475" s="3" t="s">
        <v>41</v>
      </c>
      <c r="D475" s="18" t="s">
        <v>4</v>
      </c>
      <c r="E475" s="23">
        <f>(5*2.7)+(8.8*2.7)+(7.8*2.7)</f>
        <v>58.32000000000001</v>
      </c>
      <c r="F475" s="7">
        <v>0</v>
      </c>
      <c r="G475" s="7">
        <f>F475*E475</f>
        <v>0</v>
      </c>
      <c r="H475" s="69"/>
    </row>
    <row r="476" spans="1:8" s="20" customFormat="1" ht="23.25" customHeight="1">
      <c r="A476" s="26"/>
      <c r="B476" s="26" t="s">
        <v>6</v>
      </c>
      <c r="C476" s="27"/>
      <c r="D476" s="28"/>
      <c r="E476" s="29"/>
      <c r="F476" s="9"/>
      <c r="G476" s="30">
        <f>SUM(G473:G475)</f>
        <v>34831936</v>
      </c>
      <c r="H476" s="68"/>
    </row>
    <row r="477" spans="1:8" s="20" customFormat="1" ht="118.5" customHeight="1">
      <c r="A477" s="16">
        <v>19</v>
      </c>
      <c r="B477" s="39" t="s">
        <v>434</v>
      </c>
      <c r="C477" s="3" t="s">
        <v>403</v>
      </c>
      <c r="D477" s="18" t="s">
        <v>4</v>
      </c>
      <c r="E477" s="35">
        <f>10.5*6</f>
        <v>63</v>
      </c>
      <c r="F477" s="7">
        <f>736000*40%</f>
        <v>294400</v>
      </c>
      <c r="G477" s="8">
        <f>F477*E477</f>
        <v>18547200</v>
      </c>
      <c r="H477" s="88" t="s">
        <v>475</v>
      </c>
    </row>
    <row r="478" spans="1:8" s="20" customFormat="1" ht="97.5" customHeight="1">
      <c r="A478" s="2"/>
      <c r="B478" s="25" t="s">
        <v>435</v>
      </c>
      <c r="C478" s="1" t="s">
        <v>41</v>
      </c>
      <c r="D478" s="18" t="s">
        <v>4</v>
      </c>
      <c r="E478" s="23">
        <f>5*2.7</f>
        <v>13.5</v>
      </c>
      <c r="F478" s="7">
        <v>0</v>
      </c>
      <c r="G478" s="7">
        <f>F478*E478</f>
        <v>0</v>
      </c>
      <c r="H478" s="90" t="s">
        <v>540</v>
      </c>
    </row>
    <row r="479" spans="1:8" s="20" customFormat="1" ht="22.5" customHeight="1">
      <c r="A479" s="26"/>
      <c r="B479" s="26" t="s">
        <v>6</v>
      </c>
      <c r="C479" s="27"/>
      <c r="D479" s="28"/>
      <c r="E479" s="29"/>
      <c r="F479" s="9"/>
      <c r="G479" s="30">
        <f>SUM(G477:G478)</f>
        <v>18547200</v>
      </c>
      <c r="H479" s="68"/>
    </row>
    <row r="480" spans="1:8" s="20" customFormat="1" ht="187.5" customHeight="1">
      <c r="A480" s="16">
        <v>20</v>
      </c>
      <c r="B480" s="39" t="s">
        <v>405</v>
      </c>
      <c r="C480" s="5" t="s">
        <v>406</v>
      </c>
      <c r="D480" s="18" t="s">
        <v>4</v>
      </c>
      <c r="E480" s="19">
        <f>5.95*3.45</f>
        <v>20.527500000000003</v>
      </c>
      <c r="F480" s="8">
        <f>498000*40%</f>
        <v>199200</v>
      </c>
      <c r="G480" s="15">
        <f>F480*E480</f>
        <v>4089078.0000000005</v>
      </c>
      <c r="H480" s="72" t="s">
        <v>489</v>
      </c>
    </row>
    <row r="481" spans="1:8" s="20" customFormat="1" ht="46.5" customHeight="1">
      <c r="A481" s="21"/>
      <c r="B481" s="25" t="s">
        <v>291</v>
      </c>
      <c r="C481" s="1" t="s">
        <v>407</v>
      </c>
      <c r="D481" s="18" t="s">
        <v>4</v>
      </c>
      <c r="E481" s="23">
        <f>3.45*1.8</f>
        <v>6.210000000000001</v>
      </c>
      <c r="F481" s="7">
        <v>0</v>
      </c>
      <c r="G481" s="7">
        <f>F481*E481</f>
        <v>0</v>
      </c>
      <c r="H481" s="90" t="s">
        <v>540</v>
      </c>
    </row>
    <row r="482" spans="2:8" s="20" customFormat="1" ht="30" customHeight="1">
      <c r="B482" s="22" t="s">
        <v>292</v>
      </c>
      <c r="C482" s="3" t="s">
        <v>408</v>
      </c>
      <c r="D482" s="18" t="s">
        <v>4</v>
      </c>
      <c r="E482" s="23">
        <f>5.95*1.6</f>
        <v>9.520000000000001</v>
      </c>
      <c r="F482" s="7">
        <v>0</v>
      </c>
      <c r="G482" s="14">
        <f>F482*E482</f>
        <v>0</v>
      </c>
      <c r="H482" s="90" t="s">
        <v>540</v>
      </c>
    </row>
    <row r="483" spans="1:8" s="20" customFormat="1" ht="28.5" customHeight="1">
      <c r="A483" s="26"/>
      <c r="B483" s="26" t="s">
        <v>6</v>
      </c>
      <c r="C483" s="27"/>
      <c r="D483" s="37"/>
      <c r="E483" s="29"/>
      <c r="F483" s="9"/>
      <c r="G483" s="30">
        <f>SUM(G480:G482)</f>
        <v>4089078.0000000005</v>
      </c>
      <c r="H483" s="68"/>
    </row>
    <row r="484" spans="1:8" s="20" customFormat="1" ht="180" customHeight="1">
      <c r="A484" s="16">
        <v>21</v>
      </c>
      <c r="B484" s="39" t="s">
        <v>413</v>
      </c>
      <c r="C484" s="5" t="s">
        <v>415</v>
      </c>
      <c r="D484" s="32" t="s">
        <v>4</v>
      </c>
      <c r="E484" s="19">
        <f>4.1*4</f>
        <v>16.4</v>
      </c>
      <c r="F484" s="8">
        <f>736000*40%</f>
        <v>294400</v>
      </c>
      <c r="G484" s="105">
        <f>F484*E484</f>
        <v>4828160</v>
      </c>
      <c r="H484" s="88" t="s">
        <v>490</v>
      </c>
    </row>
    <row r="485" spans="1:8" s="20" customFormat="1" ht="35.25" customHeight="1">
      <c r="A485" s="21"/>
      <c r="B485" s="25" t="s">
        <v>414</v>
      </c>
      <c r="C485" s="1" t="s">
        <v>41</v>
      </c>
      <c r="D485" s="32" t="s">
        <v>4</v>
      </c>
      <c r="E485" s="23">
        <f>(6*2.7)*2</f>
        <v>32.400000000000006</v>
      </c>
      <c r="F485" s="7">
        <v>0</v>
      </c>
      <c r="G485" s="14">
        <f>F485*E485</f>
        <v>0</v>
      </c>
      <c r="H485" s="90" t="s">
        <v>540</v>
      </c>
    </row>
    <row r="486" spans="1:8" s="20" customFormat="1" ht="28.5" customHeight="1">
      <c r="A486" s="26"/>
      <c r="B486" s="26" t="s">
        <v>6</v>
      </c>
      <c r="C486" s="27"/>
      <c r="D486" s="37"/>
      <c r="E486" s="29"/>
      <c r="F486" s="9"/>
      <c r="G486" s="30">
        <f>SUM(G484:G485)</f>
        <v>4828160</v>
      </c>
      <c r="H486" s="68"/>
    </row>
    <row r="487" spans="1:8" s="20" customFormat="1" ht="22.5" customHeight="1">
      <c r="A487" s="175" t="s">
        <v>595</v>
      </c>
      <c r="B487" s="175" t="s">
        <v>594</v>
      </c>
      <c r="C487" s="151"/>
      <c r="D487" s="151"/>
      <c r="E487" s="151"/>
      <c r="F487" s="151"/>
      <c r="G487" s="151"/>
      <c r="H487" s="177"/>
    </row>
    <row r="488" spans="1:8" s="20" customFormat="1" ht="99" customHeight="1">
      <c r="A488" s="16">
        <v>1</v>
      </c>
      <c r="B488" s="17" t="s">
        <v>371</v>
      </c>
      <c r="C488" s="5" t="s">
        <v>379</v>
      </c>
      <c r="D488" s="45" t="s">
        <v>4</v>
      </c>
      <c r="E488" s="19">
        <f>(5.4*4)+(5.4*2.4)</f>
        <v>34.56</v>
      </c>
      <c r="F488" s="15">
        <f>3230000*40%</f>
        <v>1292000</v>
      </c>
      <c r="G488" s="15">
        <f>F488*E488</f>
        <v>44651520</v>
      </c>
      <c r="H488" s="189" t="s">
        <v>494</v>
      </c>
    </row>
    <row r="489" spans="1:8" s="20" customFormat="1" ht="136.5" customHeight="1">
      <c r="A489" s="21"/>
      <c r="B489" s="25" t="s">
        <v>376</v>
      </c>
      <c r="C489" s="31"/>
      <c r="D489" s="36"/>
      <c r="E489" s="23"/>
      <c r="F489" s="7"/>
      <c r="G489" s="7"/>
      <c r="H489" s="190"/>
    </row>
    <row r="490" spans="1:8" s="20" customFormat="1" ht="21.75" customHeight="1">
      <c r="A490" s="26"/>
      <c r="B490" s="26" t="s">
        <v>6</v>
      </c>
      <c r="C490" s="27"/>
      <c r="D490" s="37"/>
      <c r="E490" s="29"/>
      <c r="F490" s="9"/>
      <c r="G490" s="30">
        <f>SUM(G488:G489)</f>
        <v>44651520</v>
      </c>
      <c r="H490" s="68"/>
    </row>
    <row r="491" spans="1:8" s="20" customFormat="1" ht="241.5" customHeight="1">
      <c r="A491" s="16">
        <v>2</v>
      </c>
      <c r="B491" s="39" t="s">
        <v>377</v>
      </c>
      <c r="C491" s="5" t="s">
        <v>380</v>
      </c>
      <c r="D491" s="18" t="s">
        <v>4</v>
      </c>
      <c r="E491" s="19">
        <f>(2.4*4.2)+(4.2*3.9)</f>
        <v>26.46</v>
      </c>
      <c r="F491" s="15">
        <f>(3230000-150000-(8%*3230000)-160000)*40%</f>
        <v>1064640</v>
      </c>
      <c r="G491" s="15">
        <f>F491*E491</f>
        <v>28170374.400000002</v>
      </c>
      <c r="H491" s="59" t="s">
        <v>495</v>
      </c>
    </row>
    <row r="492" spans="1:8" s="20" customFormat="1" ht="134.25" customHeight="1">
      <c r="A492" s="21"/>
      <c r="B492" s="25" t="s">
        <v>378</v>
      </c>
      <c r="C492" s="1" t="s">
        <v>7</v>
      </c>
      <c r="D492" s="18" t="s">
        <v>4</v>
      </c>
      <c r="E492" s="23">
        <f>2.2*4.2</f>
        <v>9.240000000000002</v>
      </c>
      <c r="F492" s="7">
        <f>498000*40%</f>
        <v>199200</v>
      </c>
      <c r="G492" s="7">
        <f>F492*E492</f>
        <v>1840608.0000000005</v>
      </c>
      <c r="H492" s="72" t="s">
        <v>477</v>
      </c>
    </row>
    <row r="493" spans="1:8" s="20" customFormat="1" ht="28.5" customHeight="1">
      <c r="A493" s="26"/>
      <c r="B493" s="26" t="s">
        <v>6</v>
      </c>
      <c r="C493" s="27" t="s">
        <v>374</v>
      </c>
      <c r="D493" s="37"/>
      <c r="E493" s="29"/>
      <c r="F493" s="9"/>
      <c r="G493" s="30">
        <f>SUM(G491:G492)</f>
        <v>30010982.400000002</v>
      </c>
      <c r="H493" s="68"/>
    </row>
    <row r="494" spans="1:8" s="20" customFormat="1" ht="223.5" customHeight="1">
      <c r="A494" s="16">
        <v>3</v>
      </c>
      <c r="B494" s="17" t="s">
        <v>294</v>
      </c>
      <c r="C494" s="5" t="s">
        <v>381</v>
      </c>
      <c r="D494" s="18" t="s">
        <v>4</v>
      </c>
      <c r="E494" s="19">
        <f>(2.4*4)+(4*3.7)</f>
        <v>24.4</v>
      </c>
      <c r="F494" s="15">
        <f>(3230000-150000-(8%*3230000)-160000-(5%*3230000))*40%</f>
        <v>1000040</v>
      </c>
      <c r="G494" s="15">
        <f>F494*E494</f>
        <v>24400976</v>
      </c>
      <c r="H494" s="59" t="s">
        <v>496</v>
      </c>
    </row>
    <row r="495" spans="1:8" s="20" customFormat="1" ht="95.25" customHeight="1">
      <c r="A495" s="21"/>
      <c r="B495" s="25" t="s">
        <v>450</v>
      </c>
      <c r="C495" s="1" t="s">
        <v>7</v>
      </c>
      <c r="D495" s="18" t="s">
        <v>4</v>
      </c>
      <c r="E495" s="23">
        <f>3.4*4</f>
        <v>13.6</v>
      </c>
      <c r="F495" s="7">
        <f>498000*40%</f>
        <v>199200</v>
      </c>
      <c r="G495" s="7">
        <f>F495*E495</f>
        <v>2709120</v>
      </c>
      <c r="H495" s="59" t="s">
        <v>440</v>
      </c>
    </row>
    <row r="496" spans="1:8" s="20" customFormat="1" ht="23.25" customHeight="1">
      <c r="A496" s="26"/>
      <c r="B496" s="26" t="s">
        <v>6</v>
      </c>
      <c r="C496" s="27"/>
      <c r="D496" s="37"/>
      <c r="E496" s="29"/>
      <c r="F496" s="9"/>
      <c r="G496" s="30">
        <f>SUM(G494:G495)</f>
        <v>27110096</v>
      </c>
      <c r="H496" s="62"/>
    </row>
    <row r="497" spans="1:8" s="20" customFormat="1" ht="171" customHeight="1">
      <c r="A497" s="16">
        <v>4</v>
      </c>
      <c r="B497" s="39" t="s">
        <v>382</v>
      </c>
      <c r="C497" s="5" t="s">
        <v>383</v>
      </c>
      <c r="D497" s="18" t="s">
        <v>4</v>
      </c>
      <c r="E497" s="19">
        <f>(2.4*4)+(4*4.1)</f>
        <v>26</v>
      </c>
      <c r="F497" s="7">
        <f>3230000*40%</f>
        <v>1292000</v>
      </c>
      <c r="G497" s="15">
        <f>F497*E497</f>
        <v>33592000</v>
      </c>
      <c r="H497" s="59" t="s">
        <v>497</v>
      </c>
    </row>
    <row r="498" spans="1:8" s="20" customFormat="1" ht="99" customHeight="1">
      <c r="A498" s="21"/>
      <c r="B498" s="25" t="s">
        <v>452</v>
      </c>
      <c r="C498" s="1" t="s">
        <v>7</v>
      </c>
      <c r="D498" s="18" t="s">
        <v>4</v>
      </c>
      <c r="E498" s="23">
        <f>1.7*4</f>
        <v>6.8</v>
      </c>
      <c r="F498" s="7">
        <f>498000*40%</f>
        <v>199200</v>
      </c>
      <c r="G498" s="7">
        <f>F498*E498</f>
        <v>1354560</v>
      </c>
      <c r="H498" s="59" t="s">
        <v>440</v>
      </c>
    </row>
    <row r="499" spans="1:8" s="20" customFormat="1" ht="24" customHeight="1">
      <c r="A499" s="26"/>
      <c r="B499" s="26" t="s">
        <v>6</v>
      </c>
      <c r="C499" s="27"/>
      <c r="D499" s="37"/>
      <c r="E499" s="29"/>
      <c r="F499" s="9"/>
      <c r="G499" s="30">
        <f>SUM(G497:G498)</f>
        <v>34946560</v>
      </c>
      <c r="H499" s="62"/>
    </row>
    <row r="500" spans="1:8" s="20" customFormat="1" ht="206.25" customHeight="1">
      <c r="A500" s="16">
        <v>5</v>
      </c>
      <c r="B500" s="39" t="s">
        <v>384</v>
      </c>
      <c r="C500" s="5" t="s">
        <v>385</v>
      </c>
      <c r="D500" s="18" t="s">
        <v>4</v>
      </c>
      <c r="E500" s="19">
        <f>(2.4*4)+(4*4.2)</f>
        <v>26.4</v>
      </c>
      <c r="F500" s="7">
        <f>(3230000-(8%*3230000))*40%</f>
        <v>1188640</v>
      </c>
      <c r="G500" s="15">
        <f>F500*E500</f>
        <v>31380096</v>
      </c>
      <c r="H500" s="59" t="s">
        <v>516</v>
      </c>
    </row>
    <row r="501" spans="1:8" s="20" customFormat="1" ht="100.5" customHeight="1">
      <c r="A501" s="21"/>
      <c r="B501" s="25" t="s">
        <v>295</v>
      </c>
      <c r="C501" s="1" t="s">
        <v>297</v>
      </c>
      <c r="D501" s="18" t="s">
        <v>4</v>
      </c>
      <c r="E501" s="23">
        <f>4*3.1</f>
        <v>12.4</v>
      </c>
      <c r="F501" s="7">
        <f>498000*40%</f>
        <v>199200</v>
      </c>
      <c r="G501" s="7">
        <f>F501*E501</f>
        <v>2470080</v>
      </c>
      <c r="H501" s="59" t="s">
        <v>451</v>
      </c>
    </row>
    <row r="502" spans="1:8" s="20" customFormat="1" ht="25.5" customHeight="1">
      <c r="A502" s="21"/>
      <c r="B502" s="22" t="s">
        <v>296</v>
      </c>
      <c r="C502" s="1" t="s">
        <v>298</v>
      </c>
      <c r="D502" s="18" t="s">
        <v>4</v>
      </c>
      <c r="E502" s="23">
        <f>0.9*1.6</f>
        <v>1.4400000000000002</v>
      </c>
      <c r="F502" s="7">
        <v>0</v>
      </c>
      <c r="G502" s="7">
        <f>F502*E502</f>
        <v>0</v>
      </c>
      <c r="H502" s="90" t="s">
        <v>540</v>
      </c>
    </row>
    <row r="503" spans="1:8" s="20" customFormat="1" ht="23.25" customHeight="1">
      <c r="A503" s="26"/>
      <c r="B503" s="26" t="s">
        <v>6</v>
      </c>
      <c r="C503" s="27"/>
      <c r="D503" s="37"/>
      <c r="E503" s="29"/>
      <c r="F503" s="9"/>
      <c r="G503" s="30">
        <f>SUM(G500:G502)</f>
        <v>33850176</v>
      </c>
      <c r="H503" s="62"/>
    </row>
    <row r="504" spans="1:8" s="20" customFormat="1" ht="171" customHeight="1">
      <c r="A504" s="16">
        <v>6</v>
      </c>
      <c r="B504" s="39" t="s">
        <v>386</v>
      </c>
      <c r="C504" s="5" t="s">
        <v>379</v>
      </c>
      <c r="D504" s="18" t="s">
        <v>4</v>
      </c>
      <c r="E504" s="19">
        <f>(2.4*4)+(4*3.62)</f>
        <v>24.08</v>
      </c>
      <c r="F504" s="7">
        <f>3230000*40%</f>
        <v>1292000</v>
      </c>
      <c r="G504" s="15">
        <f>F504*E504</f>
        <v>31111359.999999996</v>
      </c>
      <c r="H504" s="59" t="s">
        <v>498</v>
      </c>
    </row>
    <row r="505" spans="1:8" s="20" customFormat="1" ht="96.75" customHeight="1">
      <c r="A505" s="2"/>
      <c r="B505" s="25" t="s">
        <v>375</v>
      </c>
      <c r="C505" s="1" t="s">
        <v>7</v>
      </c>
      <c r="D505" s="18" t="s">
        <v>4</v>
      </c>
      <c r="E505" s="23">
        <f>4*3</f>
        <v>12</v>
      </c>
      <c r="F505" s="7">
        <f>498000*40%</f>
        <v>199200</v>
      </c>
      <c r="G505" s="7">
        <f>F505*E505</f>
        <v>2390400</v>
      </c>
      <c r="H505" s="59" t="s">
        <v>440</v>
      </c>
    </row>
    <row r="506" spans="1:8" s="20" customFormat="1" ht="31.5" customHeight="1">
      <c r="A506" s="21"/>
      <c r="B506" s="22" t="s">
        <v>72</v>
      </c>
      <c r="C506" s="1" t="s">
        <v>41</v>
      </c>
      <c r="D506" s="32" t="s">
        <v>4</v>
      </c>
      <c r="E506" s="23">
        <f>4*2.7</f>
        <v>10.8</v>
      </c>
      <c r="F506" s="7">
        <v>0</v>
      </c>
      <c r="G506" s="7">
        <f>F506*E506</f>
        <v>0</v>
      </c>
      <c r="H506" s="90" t="s">
        <v>540</v>
      </c>
    </row>
    <row r="507" spans="1:8" s="20" customFormat="1" ht="20.25" customHeight="1">
      <c r="A507" s="26"/>
      <c r="B507" s="26" t="s">
        <v>6</v>
      </c>
      <c r="C507" s="27"/>
      <c r="D507" s="37"/>
      <c r="E507" s="29"/>
      <c r="F507" s="9"/>
      <c r="G507" s="30">
        <f>SUM(G504:G506)</f>
        <v>33501759.999999996</v>
      </c>
      <c r="H507" s="62"/>
    </row>
    <row r="508" spans="1:8" s="20" customFormat="1" ht="189.75" customHeight="1">
      <c r="A508" s="16">
        <v>7</v>
      </c>
      <c r="B508" s="17" t="s">
        <v>372</v>
      </c>
      <c r="C508" s="5" t="s">
        <v>379</v>
      </c>
      <c r="D508" s="18" t="s">
        <v>4</v>
      </c>
      <c r="E508" s="19">
        <f>(2.4*4)+(4*4)</f>
        <v>25.6</v>
      </c>
      <c r="F508" s="7">
        <f>3230000*40%</f>
        <v>1292000</v>
      </c>
      <c r="G508" s="15">
        <f>F508*E508</f>
        <v>33075200</v>
      </c>
      <c r="H508" s="59" t="s">
        <v>499</v>
      </c>
    </row>
    <row r="509" spans="1:8" s="20" customFormat="1" ht="99.75" customHeight="1">
      <c r="A509" s="21"/>
      <c r="B509" s="22" t="s">
        <v>373</v>
      </c>
      <c r="C509" s="1" t="s">
        <v>7</v>
      </c>
      <c r="D509" s="32" t="s">
        <v>4</v>
      </c>
      <c r="E509" s="23">
        <f>4*2.9</f>
        <v>11.6</v>
      </c>
      <c r="F509" s="7">
        <f>498000*40%</f>
        <v>199200</v>
      </c>
      <c r="G509" s="7">
        <f>F509*E509</f>
        <v>2310720</v>
      </c>
      <c r="H509" s="59" t="s">
        <v>440</v>
      </c>
    </row>
    <row r="510" spans="1:8" s="20" customFormat="1" ht="73.5" customHeight="1">
      <c r="A510" s="21"/>
      <c r="B510" s="25" t="s">
        <v>488</v>
      </c>
      <c r="C510" s="3" t="s">
        <v>41</v>
      </c>
      <c r="D510" s="41" t="s">
        <v>4</v>
      </c>
      <c r="E510" s="42">
        <f>5*2.7</f>
        <v>13.5</v>
      </c>
      <c r="F510" s="7">
        <v>0</v>
      </c>
      <c r="G510" s="34">
        <f>F510*E510</f>
        <v>0</v>
      </c>
      <c r="H510" s="61"/>
    </row>
    <row r="511" spans="1:8" s="20" customFormat="1" ht="24" customHeight="1">
      <c r="A511" s="26"/>
      <c r="B511" s="26" t="s">
        <v>6</v>
      </c>
      <c r="C511" s="27"/>
      <c r="D511" s="37"/>
      <c r="E511" s="29"/>
      <c r="F511" s="9"/>
      <c r="G511" s="30">
        <f>SUM(G508:G510)</f>
        <v>35385920</v>
      </c>
      <c r="H511" s="62"/>
    </row>
    <row r="512" spans="1:8" s="20" customFormat="1" ht="168" customHeight="1">
      <c r="A512" s="16">
        <v>8</v>
      </c>
      <c r="B512" s="39" t="s">
        <v>453</v>
      </c>
      <c r="C512" s="5" t="s">
        <v>388</v>
      </c>
      <c r="D512" s="18" t="s">
        <v>4</v>
      </c>
      <c r="E512" s="19">
        <f>(2.4*4)+(4*4)</f>
        <v>25.6</v>
      </c>
      <c r="F512" s="7">
        <f>3230000*40%</f>
        <v>1292000</v>
      </c>
      <c r="G512" s="15">
        <f>F512*E512</f>
        <v>33075200</v>
      </c>
      <c r="H512" s="59" t="s">
        <v>500</v>
      </c>
    </row>
    <row r="513" spans="1:8" s="20" customFormat="1" ht="111.75" customHeight="1">
      <c r="A513" s="21"/>
      <c r="B513" s="111" t="s">
        <v>387</v>
      </c>
      <c r="C513" s="1" t="s">
        <v>7</v>
      </c>
      <c r="D513" s="32" t="s">
        <v>4</v>
      </c>
      <c r="E513" s="23">
        <f>4*2.9</f>
        <v>11.6</v>
      </c>
      <c r="F513" s="7">
        <f>498000*40%</f>
        <v>199200</v>
      </c>
      <c r="G513" s="7">
        <f>F513*E513</f>
        <v>2310720</v>
      </c>
      <c r="H513" s="59" t="s">
        <v>440</v>
      </c>
    </row>
    <row r="514" spans="1:8" s="20" customFormat="1" ht="36" customHeight="1">
      <c r="A514" s="21"/>
      <c r="B514" s="110"/>
      <c r="C514" s="3" t="s">
        <v>41</v>
      </c>
      <c r="D514" s="32" t="s">
        <v>4</v>
      </c>
      <c r="E514" s="23">
        <f>4*2.7</f>
        <v>10.8</v>
      </c>
      <c r="F514" s="7">
        <v>0</v>
      </c>
      <c r="G514" s="7">
        <f>F514*E514</f>
        <v>0</v>
      </c>
      <c r="H514" s="90" t="s">
        <v>540</v>
      </c>
    </row>
    <row r="515" spans="1:8" s="20" customFormat="1" ht="27" customHeight="1">
      <c r="A515" s="26"/>
      <c r="B515" s="26" t="s">
        <v>6</v>
      </c>
      <c r="C515" s="27"/>
      <c r="D515" s="37"/>
      <c r="E515" s="29"/>
      <c r="F515" s="9"/>
      <c r="G515" s="30">
        <f>SUM(G512:G514)</f>
        <v>35385920</v>
      </c>
      <c r="H515" s="62"/>
    </row>
    <row r="516" spans="1:8" s="20" customFormat="1" ht="186" customHeight="1">
      <c r="A516" s="16">
        <v>9</v>
      </c>
      <c r="B516" s="39" t="s">
        <v>390</v>
      </c>
      <c r="C516" s="5" t="s">
        <v>389</v>
      </c>
      <c r="D516" s="18" t="s">
        <v>4</v>
      </c>
      <c r="E516" s="19">
        <f>(2.4*4)+(4*4)</f>
        <v>25.6</v>
      </c>
      <c r="F516" s="7">
        <f>(3230000-(8%*3230000)-160000)*40%</f>
        <v>1124640</v>
      </c>
      <c r="G516" s="15">
        <f>F516*E516</f>
        <v>28790784</v>
      </c>
      <c r="H516" s="59" t="s">
        <v>501</v>
      </c>
    </row>
    <row r="517" spans="1:8" s="20" customFormat="1" ht="106.5" customHeight="1">
      <c r="A517" s="21"/>
      <c r="B517" s="25" t="s">
        <v>454</v>
      </c>
      <c r="C517" s="1" t="s">
        <v>7</v>
      </c>
      <c r="D517" s="32" t="s">
        <v>4</v>
      </c>
      <c r="E517" s="23">
        <f>3.1*4</f>
        <v>12.4</v>
      </c>
      <c r="F517" s="7">
        <f>498000*40%</f>
        <v>199200</v>
      </c>
      <c r="G517" s="8">
        <f>F517*E517</f>
        <v>2470080</v>
      </c>
      <c r="H517" s="59" t="s">
        <v>440</v>
      </c>
    </row>
    <row r="518" spans="1:8" s="20" customFormat="1" ht="24" customHeight="1">
      <c r="A518" s="26"/>
      <c r="B518" s="26" t="s">
        <v>6</v>
      </c>
      <c r="C518" s="27"/>
      <c r="D518" s="37"/>
      <c r="E518" s="29"/>
      <c r="F518" s="9"/>
      <c r="G518" s="30">
        <f>SUM(G516:G517)</f>
        <v>31260864</v>
      </c>
      <c r="H518" s="62"/>
    </row>
    <row r="519" spans="1:8" s="20" customFormat="1" ht="108" customHeight="1">
      <c r="A519" s="16">
        <v>10</v>
      </c>
      <c r="B519" s="39" t="s">
        <v>299</v>
      </c>
      <c r="C519" s="5" t="s">
        <v>397</v>
      </c>
      <c r="D519" s="18" t="s">
        <v>4</v>
      </c>
      <c r="E519" s="19">
        <f>(4*2.9)+(6.1*2.4)</f>
        <v>26.24</v>
      </c>
      <c r="F519" s="7">
        <f>3230000*40%</f>
        <v>1292000</v>
      </c>
      <c r="G519" s="15">
        <f>F519*E519</f>
        <v>33902080</v>
      </c>
      <c r="H519" s="59" t="s">
        <v>502</v>
      </c>
    </row>
    <row r="520" spans="1:8" s="20" customFormat="1" ht="120" customHeight="1">
      <c r="A520" s="2"/>
      <c r="B520" s="25" t="s">
        <v>300</v>
      </c>
      <c r="C520" s="3" t="s">
        <v>399</v>
      </c>
      <c r="D520" s="18" t="s">
        <v>4</v>
      </c>
      <c r="E520" s="35">
        <f>1.8*4.1</f>
        <v>7.38</v>
      </c>
      <c r="F520" s="7">
        <f>(3230000-(20%*3230000)-160000)*40%</f>
        <v>969600</v>
      </c>
      <c r="G520" s="7">
        <f>F520*E520</f>
        <v>7155648</v>
      </c>
      <c r="H520" s="59" t="s">
        <v>503</v>
      </c>
    </row>
    <row r="521" spans="1:8" s="20" customFormat="1" ht="133.5" customHeight="1">
      <c r="A521" s="2"/>
      <c r="B521" s="25" t="s">
        <v>301</v>
      </c>
      <c r="C521" s="3" t="s">
        <v>398</v>
      </c>
      <c r="D521" s="18" t="s">
        <v>4</v>
      </c>
      <c r="E521" s="35">
        <f>((1.8+5.6)*3.75*0.5)+(2.35*3.75)+((3.9*2)*0.5+(4.45*3.3))</f>
        <v>41.2725</v>
      </c>
      <c r="F521" s="7">
        <f>(3230000-(8%*3230000)-(5%*3230000))*40%</f>
        <v>1124040</v>
      </c>
      <c r="G521" s="7">
        <f>F521*E521</f>
        <v>46391940.9</v>
      </c>
      <c r="H521" s="59" t="s">
        <v>504</v>
      </c>
    </row>
    <row r="522" spans="1:8" s="20" customFormat="1" ht="108.75" customHeight="1">
      <c r="A522" s="21"/>
      <c r="B522" s="25"/>
      <c r="C522" s="1" t="s">
        <v>517</v>
      </c>
      <c r="D522" s="32" t="s">
        <v>4</v>
      </c>
      <c r="E522" s="23">
        <f>(10*3.1)+((2.3+5.7)*3)</f>
        <v>55</v>
      </c>
      <c r="F522" s="7">
        <f>736000*40%</f>
        <v>294400</v>
      </c>
      <c r="G522" s="7">
        <f>F522*E522</f>
        <v>16192000</v>
      </c>
      <c r="H522" s="59" t="s">
        <v>455</v>
      </c>
    </row>
    <row r="523" spans="1:8" s="20" customFormat="1" ht="30" customHeight="1">
      <c r="A523" s="21"/>
      <c r="B523" s="25"/>
      <c r="C523" s="3" t="s">
        <v>41</v>
      </c>
      <c r="D523" s="32" t="s">
        <v>4</v>
      </c>
      <c r="E523" s="23">
        <f>(10*2.7)+((2.3+5.7)*2.7)</f>
        <v>48.6</v>
      </c>
      <c r="F523" s="7">
        <v>0</v>
      </c>
      <c r="G523" s="14">
        <f>F523*E523</f>
        <v>0</v>
      </c>
      <c r="H523" s="90" t="s">
        <v>540</v>
      </c>
    </row>
    <row r="524" spans="1:8" s="20" customFormat="1" ht="28.5" customHeight="1">
      <c r="A524" s="26"/>
      <c r="B524" s="26" t="s">
        <v>6</v>
      </c>
      <c r="C524" s="27"/>
      <c r="D524" s="37"/>
      <c r="E524" s="29"/>
      <c r="F524" s="9"/>
      <c r="G524" s="30">
        <f>SUM(G519:G523)</f>
        <v>103641668.9</v>
      </c>
      <c r="H524" s="62"/>
    </row>
    <row r="525" spans="1:8" s="20" customFormat="1" ht="96.75" customHeight="1">
      <c r="A525" s="16">
        <v>11</v>
      </c>
      <c r="B525" s="17" t="s">
        <v>391</v>
      </c>
      <c r="C525" s="5" t="s">
        <v>396</v>
      </c>
      <c r="D525" s="18" t="s">
        <v>4</v>
      </c>
      <c r="E525" s="19">
        <f>(5*2.6)+(3.9*5)</f>
        <v>32.5</v>
      </c>
      <c r="F525" s="7"/>
      <c r="G525" s="15"/>
      <c r="H525" s="59" t="s">
        <v>505</v>
      </c>
    </row>
    <row r="526" spans="1:8" s="20" customFormat="1" ht="47.25">
      <c r="A526" s="21"/>
      <c r="B526" s="33" t="s">
        <v>363</v>
      </c>
      <c r="C526" s="3" t="s">
        <v>393</v>
      </c>
      <c r="D526" s="18"/>
      <c r="E526" s="23"/>
      <c r="F526" s="7"/>
      <c r="G526" s="7"/>
      <c r="H526" s="63"/>
    </row>
    <row r="527" spans="1:8" s="20" customFormat="1" ht="132.75" customHeight="1">
      <c r="A527" s="21"/>
      <c r="B527" s="33" t="s">
        <v>392</v>
      </c>
      <c r="C527" s="1" t="s">
        <v>394</v>
      </c>
      <c r="D527" s="18" t="s">
        <v>4</v>
      </c>
      <c r="E527" s="23">
        <f>(2.5*3.9)+(2.5*2.6)</f>
        <v>16.25</v>
      </c>
      <c r="F527" s="7">
        <f>(3230000-150000-(8%*3230000))*40%</f>
        <v>1128640</v>
      </c>
      <c r="G527" s="7">
        <f>F527*E527</f>
        <v>18340400</v>
      </c>
      <c r="H527" s="59" t="s">
        <v>457</v>
      </c>
    </row>
    <row r="528" spans="1:8" s="20" customFormat="1" ht="145.5" customHeight="1">
      <c r="A528" s="53"/>
      <c r="B528" s="54"/>
      <c r="C528" s="55" t="s">
        <v>395</v>
      </c>
      <c r="D528" s="18" t="s">
        <v>4</v>
      </c>
      <c r="E528" s="56">
        <f>(2.5*3.9)+(2.5*2.6)</f>
        <v>16.25</v>
      </c>
      <c r="F528" s="7">
        <f>(3230000-150000-160000-(8%*3230000))*40%</f>
        <v>1064640</v>
      </c>
      <c r="G528" s="14">
        <f>F528*E528</f>
        <v>17300400</v>
      </c>
      <c r="H528" s="59" t="s">
        <v>506</v>
      </c>
    </row>
    <row r="529" spans="1:8" s="20" customFormat="1" ht="22.5" customHeight="1">
      <c r="A529" s="26"/>
      <c r="B529" s="26" t="s">
        <v>6</v>
      </c>
      <c r="C529" s="27"/>
      <c r="D529" s="37"/>
      <c r="E529" s="29"/>
      <c r="F529" s="9"/>
      <c r="G529" s="30">
        <f>SUM(G525:G528)</f>
        <v>35640800</v>
      </c>
      <c r="H529" s="62"/>
    </row>
    <row r="530" spans="1:8" s="20" customFormat="1" ht="154.5" customHeight="1">
      <c r="A530" s="16">
        <v>12</v>
      </c>
      <c r="B530" s="39" t="s">
        <v>424</v>
      </c>
      <c r="C530" s="5" t="s">
        <v>425</v>
      </c>
      <c r="D530" s="18" t="s">
        <v>4</v>
      </c>
      <c r="E530" s="19">
        <f>5*5.3</f>
        <v>26.5</v>
      </c>
      <c r="F530" s="7">
        <f>(3230000-150000-(8%*3230000)-160000)*40%</f>
        <v>1064640</v>
      </c>
      <c r="G530" s="15">
        <f>F530*E530</f>
        <v>28212960</v>
      </c>
      <c r="H530" s="59" t="s">
        <v>507</v>
      </c>
    </row>
    <row r="531" spans="1:8" s="20" customFormat="1" ht="24" customHeight="1">
      <c r="A531" s="26"/>
      <c r="B531" s="26" t="s">
        <v>6</v>
      </c>
      <c r="C531" s="27"/>
      <c r="D531" s="37"/>
      <c r="E531" s="29"/>
      <c r="F531" s="9"/>
      <c r="G531" s="30">
        <f>SUM(G530:G530)</f>
        <v>28212960</v>
      </c>
      <c r="H531" s="68"/>
    </row>
    <row r="532" ht="30.75" customHeight="1"/>
    <row r="533" ht="30.75" customHeight="1"/>
    <row r="534" ht="30.75" customHeight="1"/>
    <row r="535" ht="30.75" customHeight="1"/>
  </sheetData>
  <sheetProtection/>
  <autoFilter ref="A8:I8"/>
  <mergeCells count="32">
    <mergeCell ref="H314:H316"/>
    <mergeCell ref="H111:H112"/>
    <mergeCell ref="H244:H245"/>
    <mergeCell ref="H252:H253"/>
    <mergeCell ref="A1:C1"/>
    <mergeCell ref="D1:H1"/>
    <mergeCell ref="A2:C2"/>
    <mergeCell ref="D2:H2"/>
    <mergeCell ref="A3:B3"/>
    <mergeCell ref="A4:H4"/>
    <mergeCell ref="A5:H5"/>
    <mergeCell ref="A6:H6"/>
    <mergeCell ref="A7:H7"/>
    <mergeCell ref="B9:E9"/>
    <mergeCell ref="H10:H12"/>
    <mergeCell ref="B13:F13"/>
    <mergeCell ref="H37:H40"/>
    <mergeCell ref="H42:H45"/>
    <mergeCell ref="H47:H49"/>
    <mergeCell ref="H51:H53"/>
    <mergeCell ref="H55:H58"/>
    <mergeCell ref="B59:F59"/>
    <mergeCell ref="H447:H449"/>
    <mergeCell ref="H451:H453"/>
    <mergeCell ref="H473:H474"/>
    <mergeCell ref="H488:H489"/>
    <mergeCell ref="B60:F60"/>
    <mergeCell ref="H351:H352"/>
    <mergeCell ref="H360:H362"/>
    <mergeCell ref="B408:F408"/>
    <mergeCell ref="B409:F409"/>
    <mergeCell ref="H443:H445"/>
  </mergeCells>
  <printOptions/>
  <pageMargins left="0.26" right="0.17" top="0.47" bottom="0.37"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2023-05-10T01:50:24Z</cp:lastPrinted>
  <dcterms:created xsi:type="dcterms:W3CDTF">2012-04-11T02:12:04Z</dcterms:created>
  <dcterms:modified xsi:type="dcterms:W3CDTF">2023-05-23T11:07:24Z</dcterms:modified>
  <cp:category/>
  <cp:version/>
  <cp:contentType/>
  <cp:contentStatus/>
</cp:coreProperties>
</file>