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9435" activeTab="0"/>
  </bookViews>
  <sheets>
    <sheet name="PHUONG AN" sheetId="1" r:id="rId1"/>
    <sheet name="Sheet1" sheetId="2" r:id="rId2"/>
    <sheet name="th" sheetId="3" r:id="rId3"/>
    <sheet name="Sheet2" sheetId="4" r:id="rId4"/>
  </sheets>
  <definedNames>
    <definedName name="_xlnm._FilterDatabase" localSheetId="0" hidden="1">'PHUONG AN'!$A$9:$H$1444</definedName>
    <definedName name="_xlfn.AGGREGATE" hidden="1">#NAME?</definedName>
    <definedName name="_xlnm.Print_Titles" localSheetId="0">'PHUONG AN'!$9:$9</definedName>
  </definedNames>
  <calcPr fullCalcOnLoad="1"/>
</workbook>
</file>

<file path=xl/sharedStrings.xml><?xml version="1.0" encoding="utf-8"?>
<sst xmlns="http://schemas.openxmlformats.org/spreadsheetml/2006/main" count="6736" uniqueCount="1190">
  <si>
    <t>CỘNG HÒA XÃ HỘI CHỦ NGHĨA VIỆT NAM</t>
  </si>
  <si>
    <t>Độc lập - Tự do - Hạnh phúc</t>
  </si>
  <si>
    <t>ĐVT</t>
  </si>
  <si>
    <t>UBND THÀNH PHỐ TÂY NINH</t>
  </si>
  <si>
    <t>DỰ THẢO PHƯƠNG ÁN  BỒI THƯỜNG, HỖ TRỢ</t>
  </si>
  <si>
    <t>Cộng</t>
  </si>
  <si>
    <t>TRUNG TÂM PHÁT TRIỂN QUỸ ĐẤT</t>
  </si>
  <si>
    <t>Địa điểm: Phường 2, thành phố Tây Ninh</t>
  </si>
  <si>
    <t>STT</t>
  </si>
  <si>
    <t>HỌ VÀ TÊN</t>
  </si>
  <si>
    <t>HẠNG MỤC</t>
  </si>
  <si>
    <t>ĐƠN GIÁ</t>
  </si>
  <si>
    <t>KHỐI LƯỢNG</t>
  </si>
  <si>
    <t>THÀNH TIỀN</t>
  </si>
  <si>
    <t>GHI CHÚ</t>
  </si>
  <si>
    <t>Dự án: Chỉnh trang khu Chợ Thành phố</t>
  </si>
  <si>
    <t>Đào Thị Phương</t>
  </si>
  <si>
    <t>CMND:</t>
  </si>
  <si>
    <t>ĐT:</t>
  </si>
  <si>
    <t>CMND: 072160001801</t>
  </si>
  <si>
    <r>
      <t>m</t>
    </r>
    <r>
      <rPr>
        <vertAlign val="superscript"/>
        <sz val="12"/>
        <rFont val="Times New Roman"/>
        <family val="1"/>
      </rPr>
      <t>2</t>
    </r>
  </si>
  <si>
    <t>Hàng rào lưới B40 móng xây gạch</t>
  </si>
  <si>
    <t>Chùa Hồng Phước</t>
  </si>
  <si>
    <t>Đại diện: Chế Bích Thảo</t>
  </si>
  <si>
    <t>ĐT: 0987776679 - 0913692801</t>
  </si>
  <si>
    <t>Tường xây gạch ống không tô</t>
  </si>
  <si>
    <t>Tô tường</t>
  </si>
  <si>
    <t>Trụ cổng</t>
  </si>
  <si>
    <t>Cổng rào</t>
  </si>
  <si>
    <t>Sân xi măng</t>
  </si>
  <si>
    <t>Nền gạch tezzarro</t>
  </si>
  <si>
    <t>m</t>
  </si>
  <si>
    <r>
      <t>m</t>
    </r>
    <r>
      <rPr>
        <vertAlign val="superscript"/>
        <sz val="12"/>
        <rFont val="Times New Roman"/>
        <family val="1"/>
      </rPr>
      <t>3</t>
    </r>
  </si>
  <si>
    <t>Giang Mỹ Lệ</t>
  </si>
  <si>
    <t>ĐT: 0354482776</t>
  </si>
  <si>
    <t>Hàng rào lưới B40 trụ bê tông móng xây gạch</t>
  </si>
  <si>
    <t>Nền xi măng</t>
  </si>
  <si>
    <t>chậu</t>
  </si>
  <si>
    <t>Trần Thị Kim Loan</t>
  </si>
  <si>
    <t>Hàng rào lưới B40 trụ bê tông không xây chân</t>
  </si>
  <si>
    <t>Mái che khung sắt tiền chế: mái tôn, không vách, nền gạch men</t>
  </si>
  <si>
    <t>Đồng hồ nước</t>
  </si>
  <si>
    <t>cái</t>
  </si>
  <si>
    <t>cây</t>
  </si>
  <si>
    <t>Nguyễn Thị Thu Bình</t>
  </si>
  <si>
    <t>ĐT: 0967724037</t>
  </si>
  <si>
    <t>CMND: 072174008479</t>
  </si>
  <si>
    <t>Mái che khung sắt tiền chế: mái tôn, không vách, nền xi măng</t>
  </si>
  <si>
    <t>Hàng rào lưới B40 móng xây gạch có tô, trụ bê tông</t>
  </si>
  <si>
    <t>Hoa hồng</t>
  </si>
  <si>
    <t>Trần Văn Bì</t>
  </si>
  <si>
    <t>ĐT: 0382420912</t>
  </si>
  <si>
    <t>CMND: 072067000873</t>
  </si>
  <si>
    <t>Mái che khung gỗ: mái tôn, không vách, nền xi măng</t>
  </si>
  <si>
    <t>Mái hiên di động</t>
  </si>
  <si>
    <t>Hàng rào lưới B40 trụ bê tông, móng xây gạch</t>
  </si>
  <si>
    <t>Nguyễn Thanh Quyên</t>
  </si>
  <si>
    <t>ĐT: 0989974907</t>
  </si>
  <si>
    <t>Phan Văn Tây</t>
  </si>
  <si>
    <t>ĐT: 0916786552</t>
  </si>
  <si>
    <t>Trần Văn Thành</t>
  </si>
  <si>
    <t>Đã chuyển nhượng</t>
  </si>
  <si>
    <t>ĐT: 0835661123</t>
  </si>
  <si>
    <t>ĐT: 0982195550</t>
  </si>
  <si>
    <t>CMND: 072074003942</t>
  </si>
  <si>
    <t>Nguyễn Thị Thu Thủy</t>
  </si>
  <si>
    <t>ĐT: 0912743107</t>
  </si>
  <si>
    <t>CMND: 290567271</t>
  </si>
  <si>
    <t>Mái che khung gỗ, không vách, nền xi măng</t>
  </si>
  <si>
    <t>Cổng rào sắt</t>
  </si>
  <si>
    <t>Ngô Kim Lan</t>
  </si>
  <si>
    <t>ĐT: 0918811521</t>
  </si>
  <si>
    <t>CMND: 072160002616</t>
  </si>
  <si>
    <t>Mái che khung sắt tiền chế: nền xi măng, có vách</t>
  </si>
  <si>
    <t>Nguyễn Đăng Khoa</t>
  </si>
  <si>
    <t>ĐT: 0337635793</t>
  </si>
  <si>
    <t>CMND: 072091012610</t>
  </si>
  <si>
    <t>Xây dựng năm 2013</t>
  </si>
  <si>
    <t>Sê nô: nền gạch men</t>
  </si>
  <si>
    <t>Mái che khung sắt tiền chế: mái tôn, không vách, nền gạch tezzarro</t>
  </si>
  <si>
    <t>Chuồng trại chăn nuôi: móng gạch, cột gạch, mái tôn, vách xây gạch lửng không tô 2 mặt cao 1,0m, nền xi măng</t>
  </si>
  <si>
    <t>Chuồng trại chăn nuôi: cột sắt, mái tôn, vách lưới B40, nền đất</t>
  </si>
  <si>
    <t>Đan bê tông đúc sẵn</t>
  </si>
  <si>
    <t>Hàng rào lưới B40 trụ bê tông + trụ sắt không xây chân</t>
  </si>
  <si>
    <t>Nguyễn Xuân Vinh</t>
  </si>
  <si>
    <t>ĐT: 0337635793 (số ông Khoa)</t>
  </si>
  <si>
    <t>CMND: 072085000834</t>
  </si>
  <si>
    <t>Mái che khung sắt tiền chế: mái tôn, không vách, nền xi măng + gạch tàu</t>
  </si>
  <si>
    <t>Trần Thị Nga</t>
  </si>
  <si>
    <t>Nhà cấp 4: móng bê tông cốt thép + gạch, tường xây gạch, cửa sắt kính, mái tôn, trần tôn lạnh, nền gạch men</t>
  </si>
  <si>
    <t>Mái che khung gỗ: mái tôn, nền xi măng</t>
  </si>
  <si>
    <t>Nguyễn Thị Thu Hương</t>
  </si>
  <si>
    <t>ĐT: 0962616759</t>
  </si>
  <si>
    <t>CMND: 072171008533</t>
  </si>
  <si>
    <t>Nhà cấp 4: Móng gạch, cột gạch, tường xây gạch tô xi măng không quét vôi, mái tôn, không trần, nền xi măng, không cửa, không có nhà vệ sinh trong nhà</t>
  </si>
  <si>
    <t>Nhà vệ sinh: móng gạch, cột gạch, tường xây gạch có tô (mặt ngoài quét vôi, mặt trong quét vôi + ốp gạch men cao 1,6m), mái tôn, không trần, nền gạch men, cửa sắt</t>
  </si>
  <si>
    <t>Nhà vệ sinh: móng gạch, cột gạch, tường xây gạch có tô quét vôi, mái tôn, không trần, nền gạch men, cửa vải</t>
  </si>
  <si>
    <t>Nhà cấp 4: Móng gạch, cột gạch, tường xây gạch có tô quét vôi, mái tôn, không trần, nền gạch men, cửa sắt, không có nhà vệ sinh trong nhà</t>
  </si>
  <si>
    <t>Nhà vệ sinh: móng gạch, cột gạch, tường xây gạch có tô quét vôi (mặt trong ốp gạch men cao 1,5m), mái tôn, không trần, nền gạch men, cửa bêka</t>
  </si>
  <si>
    <t>Nhà cấp 4: Móng gạch, cột gạch, tường xây gạch không tô, mái tôn, không trần, nền xi măng, cửa sắt</t>
  </si>
  <si>
    <t>Nhà cấp 4: Móng gạch, cột gạch, tường xây gạch có tô quét vôi, mái tôn, không trần, nền xi măng, cửa sắt kính, không có nhà vệ sinh trong nhà</t>
  </si>
  <si>
    <t>Nhà cấp 4: Móng gạch, cột gạch, tường xây gạch có tô quét vôi, mái tôn, trần tôn lạnh, nền gạch men, cửa sắt kính, không có nhà vệ sinh trong nhà</t>
  </si>
  <si>
    <t>Nhà cấp 4: Móng gạch, cột gạch, tường xây gạch có tô quét vôi (2 mặt), mái tôn, trần tôn lạnh, nền gạch men, cửa sắt kính, có nhà vệ sinh trong nhà</t>
  </si>
  <si>
    <t>Nhà tạm: khung sắt tiền chế: mái tôn, không trần, nền gạch men + xi măng, 1 vách tường xây gạch có tô quét vôi, nhà vệ sinh bên trong</t>
  </si>
  <si>
    <t>Sê nô: nền gạch bông</t>
  </si>
  <si>
    <t>Hàng rào lưới B40, móng xây gạch có tô, trụ sắt</t>
  </si>
  <si>
    <t>Võ Kim Xuyến</t>
  </si>
  <si>
    <t>ĐT: 0944513522</t>
  </si>
  <si>
    <t>CMND: 092158000153</t>
  </si>
  <si>
    <t>Nhà cấp 4: móng gạch, cột gạch, tường xây gạch có tô sơn bê (2 mặt), mái tôn, trần tôn lạnh, nền gạch men, cửa sắt kính, không có nhà vệ sinh trong nhà</t>
  </si>
  <si>
    <t>Nhà cấp 4: móng gạch, cột gạch, tường xây gạch có tô sơn bê, mái tôn, không trần, nền xi măng, không có nhà vệ sinh trong nhà</t>
  </si>
  <si>
    <t>Nhà vệ sinh: Móng gạch, cột gạch, tường xây gạch có tô, mặt trong ốp gạch men cao 1,5m, mái tôn, không trần, nền gạch men, cửa bêta, không có thiết bị vệ sinh</t>
  </si>
  <si>
    <t>Hàng rào song sắt trụ bê tông, móng xây gạch</t>
  </si>
  <si>
    <t>Hồ cá</t>
  </si>
  <si>
    <t>Hòn non bộ</t>
  </si>
  <si>
    <t>Nền gạch terrazzo</t>
  </si>
  <si>
    <t>Nền gạch men</t>
  </si>
  <si>
    <t xml:space="preserve">chậu </t>
  </si>
  <si>
    <t>Nguyễn Ngọc Minh</t>
  </si>
  <si>
    <t>ĐT: 0946342813</t>
  </si>
  <si>
    <t>Hàng rào lưới B40 móng xây gạch có tô</t>
  </si>
  <si>
    <t>Trụ cổng xây gạch</t>
  </si>
  <si>
    <t>Võ Kim Cúc</t>
  </si>
  <si>
    <t>ĐT: 0933160729</t>
  </si>
  <si>
    <t>CMND: 072070000313</t>
  </si>
  <si>
    <t>Mái che khung gỗ, mái tôn, không vách, nền gạch men</t>
  </si>
  <si>
    <t>Mái che khung sắt tiền chế: mái tôn, có vách, nền gạch men + xi măng</t>
  </si>
  <si>
    <t>Hàng rào lưới B40 trụ bê tông móng xây gạch không tô</t>
  </si>
  <si>
    <t>Nguyễn Vũ Duy Quang</t>
  </si>
  <si>
    <t>ĐT: 0909250974</t>
  </si>
  <si>
    <t>Nguyễn Thị Thanh Thúy</t>
  </si>
  <si>
    <t>ĐT: 0919036499</t>
  </si>
  <si>
    <t>ĐT: 0933189927</t>
  </si>
  <si>
    <t>ĐT: 0945875709</t>
  </si>
  <si>
    <t>Huỳnh Văn Hẻo chuyển nhượng cho Nguyễn Thanh Trung</t>
  </si>
  <si>
    <t>Rau lang</t>
  </si>
  <si>
    <t>Trần Quốc Nam</t>
  </si>
  <si>
    <t>ĐT: 0899519652</t>
  </si>
  <si>
    <t>Hàng rào song sắt móng xây gạch</t>
  </si>
  <si>
    <t>Mái che khung sắt tiền chế: mái tôn, không vách, nền bê tông</t>
  </si>
  <si>
    <t>Nền bê tông</t>
  </si>
  <si>
    <t>Giếng khoan sâu 50m</t>
  </si>
  <si>
    <t>Rau thơm các loại</t>
  </si>
  <si>
    <t>Quách Thị Hảo</t>
  </si>
  <si>
    <t>chuyển nhượng cho Trần Nam Anh</t>
  </si>
  <si>
    <t>bụi</t>
  </si>
  <si>
    <t>Nguyễn Thị Thu Hồng</t>
  </si>
  <si>
    <t xml:space="preserve">Móng đà, tường xây gạch ống không tô </t>
  </si>
  <si>
    <t>Trụ bê tông cốt thép</t>
  </si>
  <si>
    <t>Trụ điện Bê tông cốt thép (trụ vuông) cao trên 5m</t>
  </si>
  <si>
    <t>* Ý kiến khác: đề nghị hỗ trợ san lấp mặt bằng</t>
  </si>
  <si>
    <t>CMND: 290953745</t>
  </si>
  <si>
    <t>Nguyễn Công Thắng</t>
  </si>
  <si>
    <t>ĐT: 0919868825</t>
  </si>
  <si>
    <t>Sê nô bê tông cốt thép đá 1x2, nền gạch men</t>
  </si>
  <si>
    <t>Nhà cấp 4: móng gạch + bê tông cốt thép, cột gạch + bê tông cốt thép, tường xây gạch sơn bê, nền gạch men, cửa sắt kính, trần tôn lạnh, có nhà vệ sinh trong nhà</t>
  </si>
  <si>
    <t>Khung sắt tiền chế: mái tôn, trần thạch cao, nền gạch men, tường gạch + lưới B40</t>
  </si>
  <si>
    <t>Hầm Bioga</t>
  </si>
  <si>
    <t>Nguyễn Thị Mỹ Hiền</t>
  </si>
  <si>
    <t>ĐT: 0384822015</t>
  </si>
  <si>
    <t>CMND: 072180004757</t>
  </si>
  <si>
    <t>Nhà cấp 4: móng gạch, cột gạch, tường xây gạch có tô quét vôi, nền gạch men, cửa sắt kính, trần tôn lạnh, không có nhà vệ sinh trong nhà</t>
  </si>
  <si>
    <t>Chuồng trại chăn nuôi: vách lưới B40, mái tôn, nền xi măng</t>
  </si>
  <si>
    <t>Lê Thị Hà Thu</t>
  </si>
  <si>
    <t>ĐT: 0934729672 (a. Tài)</t>
  </si>
  <si>
    <t>Nhà cấp 4: móng gạch, cột gạch, tường xây gạch có tô sơn bê, nền gạch men, cửa nhôm, trần tôn lạnh, không có nhà vệ sinh trong nhà</t>
  </si>
  <si>
    <t>Gác lửng gỗ</t>
  </si>
  <si>
    <t>Nhà vệ sinh: Móng gạch, cột gạch, tường xây gạch có tô + ốp gạch men cao 1,5m (mặt trong), mái tôn, không trần, nền gạch men, cửa nhôm, có thiết bị vệ sinh</t>
  </si>
  <si>
    <t>Ốp gạch men</t>
  </si>
  <si>
    <t>Hầm tự hoại</t>
  </si>
  <si>
    <t>Hầm tự hoại (2 cái)</t>
  </si>
  <si>
    <t xml:space="preserve">Nghệ </t>
  </si>
  <si>
    <t>Võ Thị Anh Trúc</t>
  </si>
  <si>
    <t>ĐT: 0918811552 (C.Đào mẹ Trúc)</t>
  </si>
  <si>
    <t xml:space="preserve">Nhà cấp 3 (nhà thông tầng: 1 tầng trệt, 1 tầng lửng): móng bê tông cốt thép, cột bê tông cốt thép, mái tôn, sàn bê tông cốt thép, vách tường xây gạch sơn bê, mặt trong và mặt dựng ốp gạch men, nền gạch men, cửa kính cường lực, có nhà vệ sinh trong nhà  </t>
  </si>
  <si>
    <t>DT tầng 1= 5,3*9,15
DT tầng 2= 5,3*6,05</t>
  </si>
  <si>
    <t>Mái che khung sắt tiền chế: mái tôn, có vách (1 vách bằng bồ), nền gạch tezzarro</t>
  </si>
  <si>
    <t>Sả</t>
  </si>
  <si>
    <t>Nhà cấp 4: Xây dựng năm 1999, sửa chữa năm 2009, không có giấy phép xây dựng.
Kết cấu: Móng gạch, cột gạch, tường xây gạch có tô sơn bê + ốp gạch men cao 1,6 m, mái tôn, trần tôn lạnh, nền gạch men, cửa sắt kính, có nhà vệ sinh trong nhà</t>
  </si>
  <si>
    <t>Nhà cấp 4: Xây dựng năm 1999, không giấy phép xây dựng.
Kết cấu: Móng gạch, cột gạch, tường xây gạch có tô sơn bê, mái tôn, trần tôn lạnh, nền gạch men, cửa sắt kính, không có nhà vệ sinh trong nhà</t>
  </si>
  <si>
    <t>Nhà cấp 4: Xây dựng năm 2013, không có giấy phép xây dựng.
Kết cấu: Móng gạch, cột gạch, tường xây gạch có tô quét vôi, mái tôn, trần tôn lạnh, nền gạch men, cửa sắt kính, có nhà vệ sinh trong nhà</t>
  </si>
  <si>
    <t>Nhà cấp 4: Xây dựng năm 2006, không có giấy phép xây dựng.
Kết cấu: Móng gạch, cột gạch, tường xây gạch có tô quét vôi, mái tôn, trần tôn lạnh, nền gạch men, cửa sắt kính, không có nhà vệ sinh trong nhà</t>
  </si>
  <si>
    <r>
      <rPr>
        <sz val="12"/>
        <color indexed="10"/>
        <rFont val="Times New Roman"/>
        <family val="1"/>
      </rPr>
      <t xml:space="preserve">Nhà cấp 4: </t>
    </r>
    <r>
      <rPr>
        <sz val="12"/>
        <rFont val="Times New Roman"/>
        <family val="1"/>
      </rPr>
      <t>móng gạch, cột gạch, tường xây gạch, cửa sắt, mái tôn, không trần, nền xi măng</t>
    </r>
  </si>
  <si>
    <t>Nhà cấp 4: móng gạch, cột gạch, tường xây gạch có tô + quét vôi, mái tôn, trần tôn lạnh, nền gạch men, không có nhà vệ sinh trong nhà</t>
  </si>
  <si>
    <t>Giảm 5% đơn giá do không có nhà vệ sinh trong nhà.</t>
  </si>
  <si>
    <t>Nhà cấp 4: Xây dựng năm 2016.
Kết cấu: móng gạch + bê tông cốt thép, cột gạch, tường gạch có tô, quét vôi + bê, mái tôn, trần thạch cao, nền gạch men, cửa sắt kính, có nhà vệ sinh trong nhà.</t>
  </si>
  <si>
    <t>Nhà cấp 4: Xây dựng năm 2010 (sửa chữa năm 2020).
Kết cấu: móng gạch + bê tông cốt thép, cột gạch + bê tông cốt thép, tường xây gạch có tô sơn bê, nền gạch men, cửa sắt kính, mái tôn, trần tôn lạnh + thạch cao, không có nhà vệ sinh trong nhà</t>
  </si>
  <si>
    <t>Hỗ trợ di dời</t>
  </si>
  <si>
    <t>Bồn nước inox 1000lit</t>
  </si>
  <si>
    <t>giếng</t>
  </si>
  <si>
    <t>Giếng khoan sâu 25m</t>
  </si>
  <si>
    <t>Hàng rào khung sắt, chân xây gạch, cột gạch có tô, quét vôi</t>
  </si>
  <si>
    <t>cột</t>
  </si>
  <si>
    <t>Nhà cấp 4: Móng bê tông cốt thép, cột bê tông cốt thép, tường xây gạch sơn bê, nền gạch men, cửa nhôm kính, có nhà vệ sinh trong nhà (kính cường lực)</t>
  </si>
  <si>
    <t>Tô sơn trụ cổng</t>
  </si>
  <si>
    <t>Trong đó:</t>
  </si>
  <si>
    <t>Phần nền láng xi măng:</t>
  </si>
  <si>
    <t>Phần nền gạch men:</t>
  </si>
  <si>
    <t>Nhà cấp 4: móng gạch, cột gạch, tường xây gạch không tô (không tô 2 mặt), mái tôn, trần tôn lạnh, nền xi măng + gạch men, cửa sắt, không có nhà vệ sinh trong nhà</t>
  </si>
  <si>
    <t>Giảm 25% đơn giá do toàn bộ tường không tô trát.
Giảm 5% đơn giá do không có nhà vệ sinh trong nhà.</t>
  </si>
  <si>
    <t>Nhà cấp 4: móng gạch, cột gạch, tường xây gạch có tô quét vôi, nền gạch men, mái tôn, không trần, có nhà vệ sinh trong nhà</t>
  </si>
  <si>
    <t>Hoa đậu biếc</t>
  </si>
  <si>
    <t>Chuối (bụi 3-5 cây)</t>
  </si>
  <si>
    <t>Chuối (bụi từ 1-3 cây)</t>
  </si>
  <si>
    <t>Nhà vệ sinh: Móng gạch, tường xây gạch, mái tôn, cửa sắt, nền xi măng.</t>
  </si>
  <si>
    <t>Nhà vệ sinh: Móng gạch, cột gạch, tường xây gạch có tô mặt ngoài quét vôi, mặt trong sơn bê + ốp gạch men cao 1,5m, mái tôn, trần tôn lạnh, nền gạch men, cửa nhôm kính, thiết bị vệ sinh trung bình</t>
  </si>
  <si>
    <t>Cộng thêm phần ốp gạch men cao 1,6m của nhà vệ sinh</t>
  </si>
  <si>
    <t>Cộng thêm phần ốp gạch men cao 1,5m của nhà vệ sinh</t>
  </si>
  <si>
    <r>
      <t>m</t>
    </r>
    <r>
      <rPr>
        <vertAlign val="superscript"/>
        <sz val="12"/>
        <rFont val="Times New Roman"/>
        <family val="1"/>
      </rPr>
      <t>2</t>
    </r>
    <r>
      <rPr>
        <sz val="12"/>
        <rFont val="Times New Roman"/>
        <family val="1"/>
      </rPr>
      <t xml:space="preserve"> tường</t>
    </r>
  </si>
  <si>
    <t>Hàng rào song sắt, móng xây gạch có tô</t>
  </si>
  <si>
    <t>md</t>
  </si>
  <si>
    <t>Nguyễn Ngọc Việt</t>
  </si>
  <si>
    <t>biên bản chưa ký tên</t>
  </si>
  <si>
    <t>Mái che khung sắt tiền chế: mái tôn, không vác, nền xi măng</t>
  </si>
  <si>
    <t>ĐT: 0902400122</t>
  </si>
  <si>
    <t>Nguyễn Hoàng Nam</t>
  </si>
  <si>
    <t>Mái che khung sắt tiền chế: mái tôn, vách tôn, nền xi măng</t>
  </si>
  <si>
    <t>Nhà cấp 4: móng gạch, cột gạch, tường xây gạch có tô không quét vôi (2 mặt), nền gạch men, cửa sắt kính, mái tôn, trần tôn lạnh, không có nhà vệ sinh trong nhà</t>
  </si>
  <si>
    <t>* Xây dựng trên đất Trương Ngọc Liên:</t>
  </si>
  <si>
    <t>Mái che khung gỗ tiền chế: mái tôn, vách tôn, nền xi măng</t>
  </si>
  <si>
    <t>Nguyễn Thị Mỹ Hạnh</t>
  </si>
  <si>
    <t>Nhà cấp 4: móng gạch, cột gạch, tường xây gạch có tô quét vôi mặt trong ốp gạch men cao 1m2, nền gạch men, mái tôn, không trần, cửa sắt kính, có nhà vệ sinh trong nhà</t>
  </si>
  <si>
    <t>Gác lửng khung sắt tiền chế</t>
  </si>
  <si>
    <t>ĐT: 0327931505</t>
  </si>
  <si>
    <t>Trương Ngọc Liên</t>
  </si>
  <si>
    <t>Nhà cấp 4: Móng gạch, cột gạch, mái tôn, trần tôn lạnh, nền gạch men, cửa sắt kính</t>
  </si>
  <si>
    <t>Nguyễn Hoàng Trọng</t>
  </si>
  <si>
    <t>Hàng rào lưới B40 trụ gỗ</t>
  </si>
  <si>
    <t>* Xây dựng trên đất Trương Ngọc Liên</t>
  </si>
  <si>
    <t>Nhà tạm: cột gỗ, mái tôn, vách tôn, nền gạch men, cửa gỗ</t>
  </si>
  <si>
    <t>Mái che khung gỗ tiền chế: mái tôn, không vách, nền xi măng</t>
  </si>
  <si>
    <t>Nhà tạm: cột gỗ, mái tôn, không trần, tường xây gạch có tô, vách tôn (một vách mượn), cửa gỗ</t>
  </si>
  <si>
    <t>Nguyễn Hồ Trần Thị Bích Chi</t>
  </si>
  <si>
    <t>* Ý kiến khác: Hỗ trợ tiền san lấp mặt bằng</t>
  </si>
  <si>
    <t>Nhà tạm: cột gỗ, kèo gỗ, mái tôn, không trần, vách tôn, cửa gỗ, nền gạch men</t>
  </si>
  <si>
    <t>Nhà vệ sinh: Móng gạch, cột gạch, tường xây gạch có tô quét vôi + mặt trong ốp gạch men cao 1,5m, mái tôn, nền gạch men, cửa bêta</t>
  </si>
  <si>
    <t>ĐT: 0916653847</t>
  </si>
  <si>
    <t>Nhà tạm: cột gỗ, kèo gỗ, mái tôn, không trần, vách tôn, cửa tôn, nền gạch men</t>
  </si>
  <si>
    <t>Nhà cấp 4: Móng gạch, cột gạch, tường xây gạch có tô quét vôi, mái tôn, trần tôn lạnh, nền gạch men, cửa nhôm, không có nhà vệ sinh trong nhà</t>
  </si>
  <si>
    <t xml:space="preserve">Nhà vệ sinh: mái tôn, vách tôn, không trần, nền xi măng, cửa tôn, có thiết bị vệ sinh </t>
  </si>
  <si>
    <t>Chuồng trại chăn nuôi (đặt ngoài diện tích đất): cột gỗ, mái tôn, vách tôn, nền lưới B40</t>
  </si>
  <si>
    <t>Nhà cấp 4 (xây dựng năm 1995): móng gạch + bê tông cốt thép, cột gạch + bê tông cốt thép tường xây gạch có tô sơn bê, mái tôn, trần tôn lạnh, nền gạch men, cửa sắt kính, có nhà vệ sinh trong nhà</t>
  </si>
  <si>
    <t>Gác gỗ</t>
  </si>
  <si>
    <t>ĐT: 0933931139</t>
  </si>
  <si>
    <t>Nhà tạm: khung sắt, mái tôn, trần tôn lạnh, vách tôn, nền xi măng</t>
  </si>
  <si>
    <t>Mái che khung sắt tiền chế: mái tôn, không vách, nền gạch tezzarro + xi măng</t>
  </si>
  <si>
    <t>Nhà tạm: khung sắt, mái tôn, vách tôn, cửa tôn, nền đá bi</t>
  </si>
  <si>
    <t>Võ Thị Anh Thoa</t>
  </si>
  <si>
    <t>CMND: 072117903332</t>
  </si>
  <si>
    <t>Nhà cấp 4: Móng gạch, cột gạch, tường xây gạch có tô sơn bê, mái tôn, trần nhựa, nền gạch men, cửa sắt kính, có nhà vệ sinh trong nhà</t>
  </si>
  <si>
    <t>ĐT: 0909173198</t>
  </si>
  <si>
    <t>Nhà tạm: khung gỗ, vách tôn, mái tôn, nền xi măng</t>
  </si>
  <si>
    <t>Nhà tạm: cột sắt, vách tôn, mái tôn, nền xi măng</t>
  </si>
  <si>
    <t>Hoa kiểng thân mềm các loại</t>
  </si>
  <si>
    <t>Võ Triết Chương</t>
  </si>
  <si>
    <t>Nhà cấp 4 (xây dựng năm 2010): móng gạch, cột gạch, tường xây gạch có tô sơn bê, mái tôn, trần tôn lạnh, nền gạch men, cửa sắt kính, không có nhà vệ sinh trong nhà</t>
  </si>
  <si>
    <t>CMND: 290422313</t>
  </si>
  <si>
    <t>Mái che cột gỗ, mái tôn, không vách, nền đất</t>
  </si>
  <si>
    <t>ĐT: 0382781552</t>
  </si>
  <si>
    <t>Nhà tạm: cột gỗ, mái tôn, vách tôn, cửa tôn, nền xi măng, không trần</t>
  </si>
  <si>
    <t>Mai che khung sắt tiền chế: mái tôn, không vách, nền xi măng</t>
  </si>
  <si>
    <t>Chuồng trại chăn nuôi: cột sắt + bê tông, mái tôn, vách lưới B40 + tôn, nền xi măng</t>
  </si>
  <si>
    <t>Nhà vệ sinh: móng gạch, cột gạch, tường xây gạch quét vôi, mái tôn, không trần, nền xi măng, cửa nhôm, có thiết bị vệ sinh và máy nước nóng</t>
  </si>
  <si>
    <t>Nền gạch tàu</t>
  </si>
  <si>
    <t>Hố ga</t>
  </si>
  <si>
    <t>Chuối (bụi từ 3-5 cây)</t>
  </si>
  <si>
    <t>Huỳnh Thị Kim Hoàng</t>
  </si>
  <si>
    <t>CMND: 290063715</t>
  </si>
  <si>
    <t>Vũ Minh Quân</t>
  </si>
  <si>
    <t>Hoa màu cây trái ghi trên biên bản của Nguyễn Thị Hồng Hạnh</t>
  </si>
  <si>
    <t>ĐT: 0909488411</t>
  </si>
  <si>
    <t>Hàng rào lưới B40 trụ bê tông, không xây chân</t>
  </si>
  <si>
    <t>Chuối (bụi &gt; 3 cây)</t>
  </si>
  <si>
    <t>Lê Thanh Đoàn</t>
  </si>
  <si>
    <t>ĐT: 0963000257</t>
  </si>
  <si>
    <t>Trần Minh Toản</t>
  </si>
  <si>
    <t>ĐT: 0972177173 (C. Mai)</t>
  </si>
  <si>
    <t>* Ý kiến khác: Đề nghị bồi thường phần diện tích sang đất cải tạo đất khối lượng là 70 xe đất.</t>
  </si>
  <si>
    <t>ĐT: 0834010368</t>
  </si>
  <si>
    <t>Mái che khung sắt tiền chế: mái tôn, không vách, nền gạch terazzo</t>
  </si>
  <si>
    <t>Hàng rào song sắt móng xây gạch có tô</t>
  </si>
  <si>
    <t>Nền gạch terazzo</t>
  </si>
  <si>
    <t>Hàng rào khung lưới B40 móng xây gạch có tô</t>
  </si>
  <si>
    <t>Mái che di động</t>
  </si>
  <si>
    <t>Châu Trần Minh Nhựt</t>
  </si>
  <si>
    <t xml:space="preserve">Nhà cấp 4: móng gạch + bê tông cốt thép, cột gạch + bê tông cốt thép, tường xây gạch có tô quét vôi, mái tôn, không trần, nền gạch men, cửa sắt kính, có nhà vệ sinh trong nhà </t>
  </si>
  <si>
    <t>ĐT: 0909281382</t>
  </si>
  <si>
    <t>Hà Thị Toan</t>
  </si>
  <si>
    <t>* Ý kiến khác: Đề nghị hỗ trợ tiền san lấp mặt bằng (có hợp đồng kèm theo)</t>
  </si>
  <si>
    <t>Đan bê tông cốt thép đúc sẵn</t>
  </si>
  <si>
    <t>Trần Thị Ánh Vân</t>
  </si>
  <si>
    <t>* Xây nhà trên đất bà Hà Thị Toan:</t>
  </si>
  <si>
    <t>Nhà tạm: cột gỗ, kèo gỗ, mái tôn, không trần, vách gỗ + tôn, cửa gỗ + tôn, nền xi măng, có gác lửng</t>
  </si>
  <si>
    <t>Mái che cột gỗ, khung gỗ, mái tôn, không vách, nền xi măng</t>
  </si>
  <si>
    <t>ĐT: 0824984538</t>
  </si>
  <si>
    <t>ĐT: 0919270417</t>
  </si>
  <si>
    <t>Vật kiến trúc ghi trong biên bản bà Hà Thị Toan</t>
  </si>
  <si>
    <t>Hoa màu cây trái ghi trong biên bản bà Hà Thị Toan</t>
  </si>
  <si>
    <t>ĐT: 0975346134</t>
  </si>
  <si>
    <t>ĐT: 0909207525</t>
  </si>
  <si>
    <t>Hàng rào song sắt trụ bê tông cốt thép, móng xây gạch có tô</t>
  </si>
  <si>
    <t xml:space="preserve">Rau lang </t>
  </si>
  <si>
    <t>Chuối (bụi trên 5 cây)</t>
  </si>
  <si>
    <t>* Ý kiến khác: đề nghị hỗ trợ san lấp mặt bằng, đề nghị xem xét bồi thường phần diện tích gia đình đang sử dụng chưa được cấp giấy CNQSDĐ</t>
  </si>
  <si>
    <t>Gừng (làm thuốc)</t>
  </si>
  <si>
    <t>Nhà cấp 4 : móng gạch, cột gạch, tường xây gạch có tô quét vôi ốp gạch cao 1,6m, nền gạch men, mái tôn, trần tôn lạnh, có nhà vệ sinh trong nhà</t>
  </si>
  <si>
    <t>Giảm 25% đơn giá do toàn bộ tường không tô trát.
Giảm 5% đơn giá do không có nhà vệ sinh trong nhà</t>
  </si>
  <si>
    <t>Giảm 8% đơn giá do tường quét vôi toàn bộ.
Giảm 5% đơn giá do không có nhà vệ sinh trong nhà.</t>
  </si>
  <si>
    <t>Giảm 4% đơn giá do tường quét vôi mặt ngoài</t>
  </si>
  <si>
    <t>Nhà cấp 4 (xây dựng năm 2022): móng gạch + bê tông cốt thép, cột gạch + bê tông cốt thép, tường xây gạch có tô sơn bê, mái tôn, trần thạch cao, nền gạch men, cửa sắt kính, có nhà vệ sinh trong nhà (cửa kính cường lực)</t>
  </si>
  <si>
    <t>Nhà cấp 4 (xây dựng năm 2008): Móng gạch + bê tông cốt thép, cột gạch + bê tông cốt thép, vách tường gạch xây tô sơn bê + ốp gạch men, mái tôn, trần tôn lạnh, nền gạch men cửa sắt kính, có nhà vệ sinh trong nhà</t>
  </si>
  <si>
    <t>Hàng rào lưới B40  trụ bê tông, không xây chân</t>
  </si>
  <si>
    <t>Hàng rào lưới B40, trụ bê tông, móng xây gạch</t>
  </si>
  <si>
    <t>Mái che khung gỗ: mái tôn, không vách, nền gạch bông</t>
  </si>
  <si>
    <r>
      <t>Mái che khung sắt tiền chế:</t>
    </r>
    <r>
      <rPr>
        <sz val="12"/>
        <color indexed="10"/>
        <rFont val="Times New Roman"/>
        <family val="1"/>
      </rPr>
      <t xml:space="preserve"> mái ngói,</t>
    </r>
    <r>
      <rPr>
        <sz val="12"/>
        <rFont val="Times New Roman"/>
        <family val="1"/>
      </rPr>
      <t xml:space="preserve"> không vách, nền gạch terazzo + xi măng</t>
    </r>
  </si>
  <si>
    <t>Nhà tạm: khung sắt tiền chế, mái tôn, vách tôn, nền xi măng</t>
  </si>
  <si>
    <t>Nhóm IIA</t>
  </si>
  <si>
    <t>Lê Hữu Lành</t>
  </si>
  <si>
    <t>Lâm Đức Hòa</t>
  </si>
  <si>
    <t>ĐT: 0343853149 (chị Thúy)</t>
  </si>
  <si>
    <t>Ngô Dục</t>
  </si>
  <si>
    <t>Nhà cấp 4: móng gạch, cột gạch, tường xây gạch có tô quét vôi, mái tôn, không trần, nền gạch men, khung kèo sắt</t>
  </si>
  <si>
    <t>Nhà tạm: khung sắt lợp tôn, tường xây cao 0.5m, vách tôn</t>
  </si>
  <si>
    <t>ĐT: 0937305257</t>
  </si>
  <si>
    <t>Nhà cấp 4: móng gạch, cột gạch, tường xây gạch có tô ốp gạch men cao 2m, mái tôn, trần tôn lạnh, nền gạch men, có nhà vệ sinh trong nhà</t>
  </si>
  <si>
    <t>Mái che khung gỗ tiền chế: mái tôn, vách tường, nền xi măng</t>
  </si>
  <si>
    <t>Lữ Phước Nhẩn</t>
  </si>
  <si>
    <t>Nguyễn Lâm Thiên Kim</t>
  </si>
  <si>
    <t>Nhà cấp 3 (1 trệt, 1 lầu): Móng bê tông cốt thép, cột bê tông cốt thép, đà bê tông cốt thép, sàn bê tông cốt thép, tường xây gạch sơn nước, ốp gạch men cao 2,5m, trần đổ bê tông cốt thép, nền gạch men, cửa sắt, có nhà vệ sinh trong nhà</t>
  </si>
  <si>
    <t>ĐT: 0908610555</t>
  </si>
  <si>
    <t>Nhà cấp 4: Móng bê tông cốt thép, cột bê tông cốt thép, tường xây gạch có tô sơn nước, mái tôn, không trần, nền gạch men, không có nhà vệ sinh trong nhà</t>
  </si>
  <si>
    <t>Dương Thị Kim Phượng</t>
  </si>
  <si>
    <t>Nhà cấp 3 (1 trệt, 1 lầu, xây dựng năm 2017): Móng gạch + bê tông cốt thép, cột gạch + bê tông cốt thép, mái tôn, trần tôn lạnh, tường xây gạch sơn bê + ốp gạch men cao 1,6m, nền gạch men, cửa sắt cuốn, có nhà vệ sinh trong nhà</t>
  </si>
  <si>
    <t>ĐT: 0365665549</t>
  </si>
  <si>
    <t>Gác bê tông cốt thép</t>
  </si>
  <si>
    <t>Đặng Ngọc Hoa</t>
  </si>
  <si>
    <t>Nhà cấp 4: móng gạch, cột gạch, mái tôn, không trần, tường xây gạch có tô sơn bê, cột kèo sắt, nền gạch men, cửa sắt kéo, có nhà vệ sinh trong nhà</t>
  </si>
  <si>
    <t>ĐT: 0877292544</t>
  </si>
  <si>
    <t>Nguyễn Quang Hùng</t>
  </si>
  <si>
    <t>Nhà cấp 4: móng gạch, cột gạch, mái tôn, trần tôn lạnh, tường xây gạch có tô quét vôi mặt trong và mặt dựng, mặt ngoài không tô 1 mặt (tô 1 mặt), nền gạch men, cửa sắt kính, có nhà vệ sinh trong nhà</t>
  </si>
  <si>
    <t>Mái che khung sắt tiền chế: không vách, nền xi măng</t>
  </si>
  <si>
    <t>ĐT: 0976798854</t>
  </si>
  <si>
    <t>Mái che khung sắt tiền chế: không vách, nền gạch men</t>
  </si>
  <si>
    <t xml:space="preserve">cây </t>
  </si>
  <si>
    <t>Hứa Đắc Thọ</t>
  </si>
  <si>
    <t>CMND: 072069003460</t>
  </si>
  <si>
    <t>Nhà cấp 4 (xây dựng năm 1991): Móng gạch, cột gạch, tường xây gạch có tô + quét vôi, mái tôn, trần tôn, của gỗ, nền xi măng</t>
  </si>
  <si>
    <t>Hàng Hà Phong</t>
  </si>
  <si>
    <t>Trương Thị Tuyết Oanh</t>
  </si>
  <si>
    <t>ĐT: 0933489289</t>
  </si>
  <si>
    <t>Ngô Thị Kía</t>
  </si>
  <si>
    <t>CMND: 290354135</t>
  </si>
  <si>
    <t>Trần Hồng</t>
  </si>
  <si>
    <t>ĐT: 0975757075</t>
  </si>
  <si>
    <t>Võ Thị Kim Loan</t>
  </si>
  <si>
    <t>CMND: 290400126</t>
  </si>
  <si>
    <t>Nhà cấp 4 (xây dựng năm 2012): móng gạch, cột gạch, tường xây gạch có tô quét vôi, mái tôn, trần tôn lạnh, nền gạch men, nhà vệ sinh trong ốp gạch men cao 1,8m</t>
  </si>
  <si>
    <t>ĐT: 0918938733</t>
  </si>
  <si>
    <t>Trần Thị Hương Giang</t>
  </si>
  <si>
    <t>ĐT: 0909997084</t>
  </si>
  <si>
    <t>Huỳnh Ngân Phúc</t>
  </si>
  <si>
    <t>Nhà cấp 4: móng gạch + bê tông cốt thép, cột gạch + bê tông cốt thép, tường xây gạch có tô quét vôi, mái tôn, trần tôn lạnh, cửa sắt, nền gạch men, không có nhà vệ sinh trong nhà</t>
  </si>
  <si>
    <t>ĐT: 0986616323</t>
  </si>
  <si>
    <t>Nhà vệ sinh: móng gạch, cột gạch, mái tôn, trần nhựa, tường xây gạch có tô quét vôi + ốp gạch men cao 1,2m, nền gạch men, cửa nhôm, có thiết bị vệ sinh</t>
  </si>
  <si>
    <t>Võ Thị Út</t>
  </si>
  <si>
    <t>ĐT: 0369931624</t>
  </si>
  <si>
    <t>ĐT: 0918585000</t>
  </si>
  <si>
    <t>ĐT: 0916375579</t>
  </si>
  <si>
    <t>Nhà vệ sinh: móng gạch, cột gạch, tường xây gạch có tô sơn bê + ốp gạch men cao 1,6m, nền gạch men, cửa sắt kính, có thiết bị vệ sinh</t>
  </si>
  <si>
    <t>Nhà tạm: cột gỗ, mái tôn, không trần, vách tường + khung lưới B40 (nhờ 1 vách), nền gạch men, cửa sắt</t>
  </si>
  <si>
    <t>Tiêu Tuyết Nhi</t>
  </si>
  <si>
    <t xml:space="preserve">Mái che khung sắt tiền chế: mái tôn, không vách, nền xi măng </t>
  </si>
  <si>
    <t>ĐT: 0384522050</t>
  </si>
  <si>
    <t>bồn</t>
  </si>
  <si>
    <t>Ngô Lèn</t>
  </si>
  <si>
    <t>Nhà cấp 4 (xây dựng năm 2003): móng gạch, cột gạch + bê tông cốt thép, tường xây gạch có tô quét vôi, mái tôn, trần nhựa, nền gạch men, cửa sắt kính, có nhà vệ sinh trong nhà</t>
  </si>
  <si>
    <t>Hàng rào lưới B40 cột sắt không xây chân</t>
  </si>
  <si>
    <t>ĐT: 0934176160</t>
  </si>
  <si>
    <t>ĐT: 0777506099</t>
  </si>
  <si>
    <t>Nhà vệ sinh: móng gạch, cột gạch, tường xây gạch có tô quét vôi (mặt trong ốp gạch men cao 1,2m), nền gạch men, cửa gỗ, có thiết bị vệ sinh</t>
  </si>
  <si>
    <t>Trần Thị Đi</t>
  </si>
  <si>
    <t>CMND: 072160001069</t>
  </si>
  <si>
    <t>Nhà cấp 4 (xây dựng năm 1996): Móng gạch, cột gạch, tường xây gạch có tô quét vôi, mặt dựng ốp gạch men, mái tôn, trần tôn lạnh, cửa sắt kính, nền gạch men, không có nhà vệ sinh trong nhà</t>
  </si>
  <si>
    <t>ĐT: 0396203812</t>
  </si>
  <si>
    <t>Mái che khung sắt, cột bê tông, mái tôn, không vách, nền xi măng</t>
  </si>
  <si>
    <t>Nhà vệ sinh: móng gạch, cột gạch, tường xây gạch có tô ốp gạch men cao 1,5m, nền gạch men, cửa bê ta, mái tôn, có thiết bị vệ sinh</t>
  </si>
  <si>
    <t>* Ý kiến khác: đề nghị hỗ trợ phần đất san lấp mặt bằng (cao 1,5 m của nền đất sang lấp)</t>
  </si>
  <si>
    <t>ĐT: 0933956087</t>
  </si>
  <si>
    <t>Mái che khung gỗ, vách cây, cửa cây, nền xi măng, mái tôn</t>
  </si>
  <si>
    <t>Nguyễn Ngọc Ẩn</t>
  </si>
  <si>
    <t>Nhà mát: trụ bê tông cốt thép ốp gạch men, mái tôn, không vách, khung sắt, nền gạch men, lan can sắt xung quanh</t>
  </si>
  <si>
    <t>Mái che khung sắt tiền chế: mái tôn, không vách, nền gạch terrazzo</t>
  </si>
  <si>
    <t>Nhà thờ: móng bê tông cốt thép, cột bê tông cốt thép, sàn bê tông cốt thép, tường xây gạch ốp gạch men + kính, nền gạch men</t>
  </si>
  <si>
    <t>Khổ qua</t>
  </si>
  <si>
    <t>Lan</t>
  </si>
  <si>
    <t xml:space="preserve">Khóm </t>
  </si>
  <si>
    <t>Trương Thị Bích Thủy</t>
  </si>
  <si>
    <t>Nhà cấp 4 (xây dựng năm 2000): móng gạch, cột gạch, tường xây gạch có tô sơn bê, ốp gạch men cao 1,2m, có nhà vệ sinh trong nhà, mái tôn, trần tôn lạnh, nền gạch men, cửa nhôm kính</t>
  </si>
  <si>
    <t>ĐT: 0826444434</t>
  </si>
  <si>
    <t xml:space="preserve">Đồng hồ nước </t>
  </si>
  <si>
    <t>Tăng Kim Anh</t>
  </si>
  <si>
    <t>Nhà cấp 4: móng gạch, cột gạch, tường xây gạch có tô quét vôi, mái tôn, trần tôn lạnh, nền gạch men, cửa sắt kính, không có nhà vệ sinh trong nhà</t>
  </si>
  <si>
    <t>ĐT: 0936742683</t>
  </si>
  <si>
    <t>Mái che khung sắt: mái tôn, không vách, nền gạch men, cột bê tông cốt thép</t>
  </si>
  <si>
    <t>Mái che khung sắt: mái tôn, có vách, nền gạch tàu</t>
  </si>
  <si>
    <t>Nhà vệ sinh riêng biệt: móng gạch, cột gạch, tường xây gạch không tô (mặt trong tô xi măng cao 1,2m), cửa sắt, có thiết bị vệ sinh</t>
  </si>
  <si>
    <t>Hoa kiểng các loại</t>
  </si>
  <si>
    <t>Nguyễn Thị Mai</t>
  </si>
  <si>
    <t>Nhà cấp 4: móng gạch, cột gạch, tường xây gạch có tô + sơn bê, mái tôn, trần nhựa, nền gạch men, cửa sắt kính</t>
  </si>
  <si>
    <t>ĐT: 0859909659</t>
  </si>
  <si>
    <t>Nhà cấp 4: móng gạch, cột gạch, tường xây gạch có tô quét vôi, mái tôn, không trần, nền gạch men, cửa sắt, có nhà vệ sinh trong nhà</t>
  </si>
  <si>
    <t>Đỗ Thị Trường An</t>
  </si>
  <si>
    <t>ĐT: 0394462483</t>
  </si>
  <si>
    <t>Lê Thị Tuyết Nhung</t>
  </si>
  <si>
    <t>Nhà cấp 4: móng gạch, cột gạch, tường xây gạch có tô quét vôi, mái tôn, trần nhựa, nền gạch tàu, có nhà vệ sinh trong nhà</t>
  </si>
  <si>
    <t>ĐT: 0908976777</t>
  </si>
  <si>
    <t>Nguyễn Văn Tiến</t>
  </si>
  <si>
    <t>ĐT: 0913987525</t>
  </si>
  <si>
    <t>Nguyễn Thị Hồng Hạnh</t>
  </si>
  <si>
    <t>CMND: 290734218/072180013222</t>
  </si>
  <si>
    <t>Nhà cấp 4: Móng bê tông cốt thép + gạch, cột bê tông cốt thép + gạch, tường xây gạch có tô sơn bê, mặt trong ốp gạch men cao 1,6m, mái tôn, trần tôn lạnh, nền gạch men, cửa sắt kính, không có nhà vệ sinh trong nhà</t>
  </si>
  <si>
    <t>Mái che khung sắt tiền chế: mái tôn, không vách, nền đất</t>
  </si>
  <si>
    <t>Nhà vệ sinh: móng bê tông cốt thép + gạch, cột bê tông cốt thép + gạch, tường xây gạch có tô mặt trong ốp gạch men cao hơn 2m, mái đổ sàn bê tông cốt thép, nền gạch men, cửa nhôm kính, có thiết bị vệ sinh</t>
  </si>
  <si>
    <t>Chuồng trại chăn nuôi: cột sắt, vách lưới + tôn, mái tôn, nền lưới</t>
  </si>
  <si>
    <t>Chuồng trại chăn nuôi: Móng gạch, cột gạch, mái tôn, vách tường xây gạch không tô cao 4m, nền xi măng, cửa sắt</t>
  </si>
  <si>
    <t>Rau muống</t>
  </si>
  <si>
    <t>Hoa mười giờ</t>
  </si>
  <si>
    <t>Đậu bắp</t>
  </si>
  <si>
    <t>Cải bẹ xanh</t>
  </si>
  <si>
    <t>Chuối (bụi từ 3 - 5 cây)</t>
  </si>
  <si>
    <t>Sen</t>
  </si>
  <si>
    <t xml:space="preserve">Ngà voi </t>
  </si>
  <si>
    <t>Cỏ nuôi</t>
  </si>
  <si>
    <t>Nhà tạm: móng gạch, cột gạch, mái tôn, không trần, khung chèo gỗ, vách tôn, nền gạch men, cửa sắt, không kính</t>
  </si>
  <si>
    <t>Khung vệ sinh có xây tường, mái tôn</t>
  </si>
  <si>
    <t>ĐT: 0396461552</t>
  </si>
  <si>
    <t>0909968333 (Nương)</t>
  </si>
  <si>
    <t>Trần Anh Dũng</t>
  </si>
  <si>
    <t>Võ Kim Giao</t>
  </si>
  <si>
    <t>Hàng rào lưới B40, trụ bê tông, móng xây gạch + đá đỏ</t>
  </si>
  <si>
    <t>Hoa nhài</t>
  </si>
  <si>
    <t>Lá mơ</t>
  </si>
  <si>
    <t>Chuối (bụi 1-3 cây)</t>
  </si>
  <si>
    <t xml:space="preserve"> * Phần tự xây dựng trên đất công:</t>
  </si>
  <si>
    <t>Mái che khung gỗ, vách tôn, nền sàn gỗ, mái tôn</t>
  </si>
  <si>
    <t>ĐT: 0903602347</t>
  </si>
  <si>
    <t>Mái che khung sắt tiền chế: mái tôn, không vách (phía trước nhà), nền xi măng</t>
  </si>
  <si>
    <t>Mái hiên di dộng</t>
  </si>
  <si>
    <t>Đề nghị hỗ trợ sang lấp mặt bằng (30 xe đất)</t>
  </si>
  <si>
    <t>ĐT: 0868842485</t>
  </si>
  <si>
    <t>Lê Văn Tấn</t>
  </si>
  <si>
    <t>Nhà tạm: khung sắt tiền chế, nền xi măng + gạch men, 1 vách xây gạch quét vôi, 1 vách nhờ, trần tôn lạnh, mái tôn, cửa sắt cuốn</t>
  </si>
  <si>
    <t>Nhà vệ sinh: móng gạch, cột gạch, tường xây gạch, nền gạch men, mái tôn, không trần</t>
  </si>
  <si>
    <t>ĐT: 0837464470</t>
  </si>
  <si>
    <t>Hàng rào lưới B40 trụ gỗ không chân</t>
  </si>
  <si>
    <t>ĐT: 0915707626</t>
  </si>
  <si>
    <t>Nguyễn Thị Mỹ Thao</t>
  </si>
  <si>
    <t>CMND: 072180014350</t>
  </si>
  <si>
    <t>Nhà cấp 4 (xây dựng được 7 năm): móng gạch, cột gạch, tường xây gạch có tô quét vôi, mái tôn, trần tôn lạnh, nền gạch men, cửa sắt kính, không có nhà vệ sinh trong nhà (nhà chính)</t>
  </si>
  <si>
    <t>ĐT: 0914777592 (cô Thanh)</t>
  </si>
  <si>
    <t>Lưu Đức Thành</t>
  </si>
  <si>
    <t>ĐT: 037906679/ 0387906679</t>
  </si>
  <si>
    <t>Trần Huỳnh Thảo Trang</t>
  </si>
  <si>
    <t>Trụ cột</t>
  </si>
  <si>
    <t>Móng gạch + đà + BTCT</t>
  </si>
  <si>
    <t>ĐT: 0914797823</t>
  </si>
  <si>
    <t>ĐT: 0933426474</t>
  </si>
  <si>
    <t>Nhà cấp 4: móng gạch + bê tông cốt thép, cột gạch + bê tông cốt thép, tường xây gạch sơn bê, mái tôn, trần thạch cao, nền gạch men, cửa sắt kính (kính cường lực), có nhà vệ sinh trong nhà</t>
  </si>
  <si>
    <t>* Ý kiến khác: đề nghị xem lại kết cấu nhà theo mục 1.2; 1; I của điểm a khoản 1 Điều 3 (bảng đơn giá kèm theo QĐ 58/2019/QĐ-UBND ngày 26/12/2019 của UBND tỉnh TN để áp giá phù hợp</t>
  </si>
  <si>
    <t>ĐT: 0888857868</t>
  </si>
  <si>
    <t>Ống nước cấp thủy</t>
  </si>
  <si>
    <t>Mái che khung sắt tiền chế: mái tôn, có vách, nền gạch men</t>
  </si>
  <si>
    <t>Bạc hà</t>
  </si>
  <si>
    <t>Khóm</t>
  </si>
  <si>
    <t>Chưa được cấp giấy CNQSDĐ, cư ngụ tại Phường 2 từ năm trước giải phóng</t>
  </si>
  <si>
    <t>Đậu đũa</t>
  </si>
  <si>
    <t>Giếng khoan sâu 43m</t>
  </si>
  <si>
    <t>Lá lốt</t>
  </si>
  <si>
    <t>Mái che khung sắt tiền chế: mái tôn, không vách, nền gạch bông + xi măng (xây trong phạm vi chợ)</t>
  </si>
  <si>
    <t xml:space="preserve">Mái che khung sắt tiền chế: mái tôn, có vách, nền xi măng </t>
  </si>
  <si>
    <t>Nhà cấp 4: móng gạch, cột gạch, tường xây gạch không tô (2 mặt), mái tôn, không trần, nền gạch men, cửa sắt, có nhà vệ sinh trong nhà</t>
  </si>
  <si>
    <t>Giảm 8% đơn giá do tường không quét vôi, không sơn bê
Giảm 5% đơn giá do không có nhà vệ sinh trong nhà.</t>
  </si>
  <si>
    <t>Giảm 10% đơn giá do tường không tô trát hoàn thiện</t>
  </si>
  <si>
    <t>Giảm 8% đơn giá  do tường quét vôi toàn bộ.</t>
  </si>
  <si>
    <t>Nhà cấp 4: móng bê tông cốt thép, cột bê tông cốt thép, tường xây gạch ống có tô + quét vôi, mái tôn, trần tôn lạnh, nền gạch men có nhà vệ sinh trong nhà</t>
  </si>
  <si>
    <t>Giảm 8% đơn giá  do tường quét vôi toàn bộ.
Giảm 5% đơn giá do không có nhà vệ sinh trong nhà</t>
  </si>
  <si>
    <t>Không có nhà vệ sinh trong nhà nhưng toàn bộ tường ốp gạch men cao 1,6m, do đó không giảm đơn giá</t>
  </si>
  <si>
    <t>Nhà cấp 4: móng gạch + bê tông cốt thép, cột gạch + bê tông cốt thép, tường xây gạch có tô sơn bê, mái tôn, trần tôn lạnh, nền gạch men, cửa sắt kính, có nhà vệ sinh trong nhà</t>
  </si>
  <si>
    <t>* Ý kiến khác: đề nghị bồi thường  đủ để sửa chữa nhà.</t>
  </si>
  <si>
    <t>Bồn nước Inox 1000lit</t>
  </si>
  <si>
    <t>Bồn nước Inox 500lit</t>
  </si>
  <si>
    <t>Bồn inox 1000lit</t>
  </si>
  <si>
    <r>
      <t>m</t>
    </r>
    <r>
      <rPr>
        <vertAlign val="superscript"/>
        <sz val="12"/>
        <rFont val="Times New Roman"/>
        <family val="1"/>
      </rPr>
      <t xml:space="preserve">2
</t>
    </r>
    <r>
      <rPr>
        <sz val="12"/>
        <rFont val="Times New Roman"/>
        <family val="1"/>
      </rPr>
      <t>tường</t>
    </r>
  </si>
  <si>
    <t>Cộng thêm phần diện tích tường cao trên 1m của chuồng trại chăn nuôi</t>
  </si>
  <si>
    <r>
      <t xml:space="preserve">Hàng rào khung lưới B40 trụ sắt không xây chân </t>
    </r>
    <r>
      <rPr>
        <sz val="12"/>
        <color indexed="10"/>
        <rFont val="Times New Roman"/>
        <family val="1"/>
      </rPr>
      <t>(xây dựng trên hẻm 2m)</t>
    </r>
  </si>
  <si>
    <r>
      <t xml:space="preserve">Mái che khung sắt tiền chế: mái tôn, vách tôn, nền xi măng </t>
    </r>
    <r>
      <rPr>
        <sz val="12"/>
        <color indexed="10"/>
        <rFont val="Times New Roman"/>
        <family val="1"/>
      </rPr>
      <t>(xây dựng trên phần lộ giới quy hoạch 2m)</t>
    </r>
  </si>
  <si>
    <r>
      <t>Mái che khung gỗ tiền chế: mái tôn, có vách, nền xi măng</t>
    </r>
    <r>
      <rPr>
        <sz val="12"/>
        <color indexed="10"/>
        <rFont val="Times New Roman"/>
        <family val="1"/>
      </rPr>
      <t xml:space="preserve"> (ngoài giấy CNQSDĐ)</t>
    </r>
  </si>
  <si>
    <r>
      <t>Mái che khung sắt: mái tôn, không vách, nền xi măng</t>
    </r>
    <r>
      <rPr>
        <sz val="12"/>
        <color indexed="10"/>
        <rFont val="Times New Roman"/>
        <family val="1"/>
      </rPr>
      <t xml:space="preserve"> (xây dựng ngoài giấy CNQSDĐ)</t>
    </r>
  </si>
  <si>
    <r>
      <t xml:space="preserve">Mái che khung sắt tiền chế: mái tôn, không vách, nền xi măng </t>
    </r>
    <r>
      <rPr>
        <sz val="12"/>
        <color indexed="10"/>
        <rFont val="Times New Roman"/>
        <family val="1"/>
      </rPr>
      <t>(xây dựng trên đất chợ)</t>
    </r>
  </si>
  <si>
    <r>
      <t xml:space="preserve">Mái che khung sắt tiền chế: mái tôn, không vách, nền xi măng </t>
    </r>
    <r>
      <rPr>
        <sz val="12"/>
        <color indexed="10"/>
        <rFont val="Times New Roman"/>
        <family val="1"/>
      </rPr>
      <t>(xây dựng trên đất giao thông)</t>
    </r>
  </si>
  <si>
    <t>Mái che khung gỗ: cột gỗ, mái tôn, không vách, nền xi măng</t>
  </si>
  <si>
    <t xml:space="preserve">Móng tường xây gạch tô đá hộc, đá ong </t>
  </si>
  <si>
    <r>
      <t xml:space="preserve">Nhà tạm </t>
    </r>
    <r>
      <rPr>
        <sz val="12"/>
        <color indexed="10"/>
        <rFont val="Times New Roman"/>
        <family val="1"/>
      </rPr>
      <t>(không bị ảnh hưởng)</t>
    </r>
    <r>
      <rPr>
        <sz val="12"/>
        <rFont val="Times New Roman"/>
        <family val="1"/>
      </rPr>
      <t>: móng gạch, cột gạch, mái tôn, không trần, nền xi măng, tường xây gạch có tô quét vôi</t>
    </r>
  </si>
  <si>
    <t>Nhà tạm: khung sắt, cột sắt, mái tôn, trần tôn lạnh, vách tôn (nhờ 1 vách), nền gạch men, cửa sắt cuốn</t>
  </si>
  <si>
    <r>
      <rPr>
        <sz val="12"/>
        <color indexed="10"/>
        <rFont val="Times New Roman"/>
        <family val="1"/>
      </rPr>
      <t>Nhà vệ sinh + nhà bếp:</t>
    </r>
    <r>
      <rPr>
        <sz val="12"/>
        <rFont val="Times New Roman"/>
        <family val="1"/>
      </rPr>
      <t xml:space="preserve"> móng gạch, cột gạch, tường xây gạch có tô quét vôi ốp gạch cao 1,5m, nền gạch men, mái tôn, không trần</t>
    </r>
  </si>
  <si>
    <t>Cộng thêm phần ốp gạch men cao 1,2m của nhà vệ sinh</t>
  </si>
  <si>
    <t>Nhà vệ sinh riêng biệt: móng gạch, cột gạch, tường xây gạch không tô (mặt trong ốp gạch men cao 1,2m), nền gạch men, cửa sắt, có thiết bị vệ sinh</t>
  </si>
  <si>
    <t>Nhà vệ sinh: Móng gạch, cột gạch, tường xây gạch có tô quét vôi, ốp gạch men cao 1,5m, mái tôn, không trần, nền gạch men, có thiết bị vệ sinh</t>
  </si>
  <si>
    <t>Đ/c: số 26 Khu phố 1, Phường 2, thành phố Tây Ninh</t>
  </si>
  <si>
    <t>Đ/c: số 1 hẻm 2, đường Ngô Gia Tự, Khu phố 1, Phường 2, thành phố Tây Ninh</t>
  </si>
  <si>
    <t>Đ/c: số 20 hẻm 2 đường Ngô Gia Tự, Khu phố 1, Phường 2, thành phố Tây Ninh</t>
  </si>
  <si>
    <t>Đ/c: số 15 hẻm 3, đường Trương Quyền, Khu phố 1, Phường 2, thành phố Tây Ninh</t>
  </si>
  <si>
    <t>Đ/c: số 22 hẻm 2, đường Ngô Gia Tự, Khu phố 1, Phường 2, thành phố Tây Ninh</t>
  </si>
  <si>
    <t>Đ/c: số 222 đường 786, Khu phố 5, Phường 1, thành phố Tây Ninh</t>
  </si>
  <si>
    <t>Đ/c: số C32, Khu phố 1, Phường 2, thành phố Tây Ninh</t>
  </si>
  <si>
    <t>Đ/c: số 16, hẻm 3, đường Trương Quyền, Khu phố 1, Phường 2, thành phố Tây Ninh</t>
  </si>
  <si>
    <t>Đ/c: số 10 hẻm 3, đường Trương Quyền, Khu phố 1, Phường 2, thành phố Tây Ninh</t>
  </si>
  <si>
    <t>Đ/c: số 12 hẻm 2, đường Ngô Gia Tự, Khu phố 1, Phường 2, thành phố Tây Ninh</t>
  </si>
  <si>
    <t>Đ/c: tổ 6, Khu phố 1, Phường 2, thành phố Tây Ninh</t>
  </si>
  <si>
    <t>Đ/c: số 4 hẻm số 3, đường Trương Quyền, Khu phố 1, Phường 2, thành phố Tây Ninh</t>
  </si>
  <si>
    <t>Đ/c: số 2 hẻm 3 đường Trương Quyền, Khu phố 1, Phường 2, thành phố Tây Ninh</t>
  </si>
  <si>
    <t>Đ/c: số 20 hẻm 19, đường CMT8, Khu phố 1, Phường 3, thành phố Tây Ninh</t>
  </si>
  <si>
    <t>Đ/c: số 32 đường Trương Quyền, Khu phố 4, Phường 1, thành phố Tây Ninh</t>
  </si>
  <si>
    <t>Đ/c: Khu phố 2, Phường 2, thành phố Tây Ninh</t>
  </si>
  <si>
    <t>Đ/c: số 18 hẻm số 2, đường Ngô Gia Tự, Khu phố 1, Phường 2, thành phố Tây Ninh</t>
  </si>
  <si>
    <t>Đ/c: Khu phố 1, Phường 2, thành phố Tây Ninh</t>
  </si>
  <si>
    <t>Đ/c: số 04 hẻm 3, đường Phạm Văn Chiêu, Khu phố 1, Phường 2, thành phố Tây Ninh</t>
  </si>
  <si>
    <t>Đ/c: số 18 hẻm số 7, đường Phạm Văn Chiêu, Khu phố 1, Phường 2, thành phố Tây Ninh</t>
  </si>
  <si>
    <t>Đ/c: hẻm số 7, đường Trương Quyền, Khu phố 1, Phường 2, thành phố Tây Ninh</t>
  </si>
  <si>
    <t>Đ/c: thị trấn Châu Thành (tạm trú tại Khu phố 1, Phường 2, thành phố Tây Ninh</t>
  </si>
  <si>
    <t>Đ/c: Khu phố 2, Phường 1, thành phố Tây Ninh</t>
  </si>
  <si>
    <t>Đ/c: ấp Xóm Khách, xã Long Giang, huyện Bến Cầu Tây Ninh.</t>
  </si>
  <si>
    <t>Đ/c: C156/1 Khu phố 1, Phường 2, thành phố Tây Ninh</t>
  </si>
  <si>
    <t>Đ/c: số C2 hẻm 3, đường Phạm Văn Chiêu, Khu phố 1, Phường 2, thành phố Tây Ninh</t>
  </si>
  <si>
    <t>Đ/c: số 31 hẻm 58 dường CMT8, Khu phố 7, Phường 3, thành phố Tây Ninh</t>
  </si>
  <si>
    <t>Đ/c: số 43 đường Phạm Văn Chiêu, Khu phố 1, Phường 2, thành phố Tây Ninh</t>
  </si>
  <si>
    <t>Đ/c: số 27 đường Phạm Văn Chiêu, Khu phố 1, Phường 2, thành phố Tây Ninh</t>
  </si>
  <si>
    <t>Đ/c: số 19 đường Phạm văn Chiêu, Khu phố 1, Phường 2, thành phố Tây Ninh</t>
  </si>
  <si>
    <t>Đ/c: số 29 đường Phạm văn Chiêu, Khu phố 1, Phường 2, thành phố Tây Ninh</t>
  </si>
  <si>
    <t>Đ/c: số 4 hẻm 3 đường Phạm Văn Chiêu, Khu phố 1, Phường 2, thành phố Tây Ninh</t>
  </si>
  <si>
    <t>Đ/c: số C152/1 đường Phạm Văn Chiêu Khu phố 1, Phường 2, thành phố Tây Ninh</t>
  </si>
  <si>
    <t>Đ/c: số C153 đường Phạm văn Chiêu, Khu phố 1, Phường 2, thành phố Tây Ninh</t>
  </si>
  <si>
    <t>Đ/c: số 33 đường Phạm Văn Chiêu, Khu phố 1, Phường 2, thành phố Tây Ninh</t>
  </si>
  <si>
    <t>Đ/c: số 25 đường Phạm Văn Chiêu, Khu phố 1, Phường 2, thành phố Tây Ninh.</t>
  </si>
  <si>
    <t>Đ/c: số 23 đường Phạm Văn Chiêu, Khu phố 1, Phường 2, thành phố Tây Ninh</t>
  </si>
  <si>
    <t>Đ/c: số 19 đường Phạm Văn Chiêu, Khu phố 1, Phường 2, thành phố Tây Ninh</t>
  </si>
  <si>
    <t>Đ/c: số 7 hẻm 1, đường Phạm Văn Chiêu, Khu phố 1, Phường 2, thành phố Tây Ninh</t>
  </si>
  <si>
    <t>Đ/c: số 5 hẻm 1, đường Phạm Văn Chiêu, Khu phố 1, Phường 2, thành phố Tây Ninh</t>
  </si>
  <si>
    <t>Đ/c: Số 2, hẻm 1, đường Phạm Văn Chiêu , Khu phố 1, Phường 2, thành phố Tây Ninh</t>
  </si>
  <si>
    <t>Đ/c: đường Phạm Văn Chiêu, Khu phố 1, Phường 2, thành phố Tây Ninh</t>
  </si>
  <si>
    <t>Đ/c: số 65 đường Phạm Văn Chiêu, Khu phố 1, Phường 2, thành phố Tây Ninh</t>
  </si>
  <si>
    <t>Đ/c: Trương Quyền, Khu phố 1, Phường 2, thành phố Tây Ninh</t>
  </si>
  <si>
    <t>Đ/c: số 83 đường Phạm văn Chiêu, Khu phố 1, Phường 2, thành phố Tây Ninh</t>
  </si>
  <si>
    <t>Đ/c: số 037 đường Ngô Gia Tự, Khu phố 1, Phường 2, thành phố Tây Ninh</t>
  </si>
  <si>
    <t>Đ/c: đường Võ Văn Truyện, Khu phố 2, Phường 2, thành phố Tây Ninh</t>
  </si>
  <si>
    <t>Đ/c: số 71 đường Trương Quyền, Khu phố 1, Phường 2, thành phố Tây Ninh</t>
  </si>
  <si>
    <t>Đ/c: số 61 đường Phạm Văn Chiêu, Khu phố 1, Phường 2, thành phố Tây Ninh</t>
  </si>
  <si>
    <t>Đ/c: số 65 đường Trương Quyền, Khu phố 1, Phường 2, thành phố Tây Ninh</t>
  </si>
  <si>
    <t>Đ/c: số 114 đường Võ Văn Truyện, Khu phố 1, Phường 2, thành phố Tây Ninh</t>
  </si>
  <si>
    <t>Đ/c: số 110 đường Võ Văn Truyện, Khu phố 1, Phường 2, thành phố Tây Ninh</t>
  </si>
  <si>
    <t>Đ/c: số 180 đường Trưng Nữ Vương, Khu phố 5, Phường 1, thành phố Tây Ninh</t>
  </si>
  <si>
    <t>Đ/c: số 7A đường Tua Hai, Khu phố 3, Phường 1, thành phố Tây Ninh</t>
  </si>
  <si>
    <t>Đ/c: số 56 đường Trương Quyền, Khu phố 4, Phường 2, thành phố Tây Ninh</t>
  </si>
  <si>
    <t>Đ/c: số 130 đường Võ Văn Truyện, Khu phố 1, Phường 2, thành phố Tây Ninh</t>
  </si>
  <si>
    <t>Đ/c: tổ 6 Khu phố 1, Phường 2, thành phố Tây Ninh</t>
  </si>
  <si>
    <t>Nhà tạm: cột gỗ, mái tôn, vách cây + tôn, không trần, nền gạch bông, cửa sắt</t>
  </si>
  <si>
    <t>Nguyễn Ngọc Vít</t>
  </si>
  <si>
    <t>Lương Thị Chinh</t>
  </si>
  <si>
    <t>Đ/c: 61 hẻm 7, đường Trưng Nữ Vương, Khu phố 5, Phường 1, thành phố Tây Ninh</t>
  </si>
  <si>
    <t>SĐT: 0344604846</t>
  </si>
  <si>
    <t>Nhà tạm: cột gỗ, mái tôn, vách tôn, nền đất, cửa tôn</t>
  </si>
  <si>
    <r>
      <t>Nhà cấp 4: móng gạch + bê tông cốt thép, cột gạch + bê tông cốt thép, tường xây gạch có tô sơn bê + ốp gạch men cao 1,8m, mái tôn,</t>
    </r>
    <r>
      <rPr>
        <sz val="12"/>
        <rFont val="Times New Roman"/>
        <family val="1"/>
      </rPr>
      <t xml:space="preserve"> cửa sắt kéo, nền gạch men, có nhà vệ sinh trong nhà</t>
    </r>
  </si>
  <si>
    <t>Nhà tạm: cột gỗ, mái tôn, trần tôn lạnh + bồ, vách cây (nhờ 1 vách), nền gạch tàu, cửa gỗ</t>
  </si>
  <si>
    <r>
      <t xml:space="preserve">Nền xi măng </t>
    </r>
    <r>
      <rPr>
        <sz val="12"/>
        <color indexed="10"/>
        <rFont val="Times New Roman"/>
        <family val="1"/>
      </rPr>
      <t>(xây dựng trên đất hẻm)</t>
    </r>
  </si>
  <si>
    <r>
      <t xml:space="preserve">Nền gạch tàu </t>
    </r>
    <r>
      <rPr>
        <sz val="12"/>
        <color indexed="10"/>
        <rFont val="Times New Roman"/>
        <family val="1"/>
      </rPr>
      <t>(xây dựng trên hẻm 2m)</t>
    </r>
  </si>
  <si>
    <r>
      <t xml:space="preserve">Nền xi măng </t>
    </r>
    <r>
      <rPr>
        <sz val="12"/>
        <color indexed="10"/>
        <rFont val="Times New Roman"/>
        <family val="1"/>
      </rPr>
      <t>(xây trên đất chợ)</t>
    </r>
  </si>
  <si>
    <t>Mái che khung sắt tiền chế: mái tôn, có vách, nền xi măng</t>
  </si>
  <si>
    <t>Giảm 8% đơn giá  do tường quét vôi toàn bộ.
Giảm 5% đơn giá do không có nhà vệ sinh trong nhà.</t>
  </si>
  <si>
    <t>Hàng rào lưới B40 không có móng hàng rào</t>
  </si>
  <si>
    <t>Mái che khung sắt tiền chế + gỗ, mái tôn, nền xi măng + đất</t>
  </si>
  <si>
    <t xml:space="preserve">Nhà cấp 4 (xây dựng năm 2018): móng gạch + bê tông cốt thép, cột gạch + bê tông cốt thép, tường xây gạch có tô sơn bê (tường 20), mái tôn, trần thạch cao, nền gạch men, cửa sắt kính, có nhà vệ sinh trong nhà </t>
  </si>
  <si>
    <t>Phạm Thị Tuôn</t>
  </si>
  <si>
    <t>3 hầm</t>
  </si>
  <si>
    <t>Trụ điện vuông, cao trên 5m</t>
  </si>
  <si>
    <t>ĐT: 0336558003</t>
  </si>
  <si>
    <t>ĐT: 0946822636 (cô Châu)</t>
  </si>
  <si>
    <t>Hàng rào khung sắt móng xây gạch có tô</t>
  </si>
  <si>
    <t>Trần Việt Biên</t>
  </si>
  <si>
    <t>Trần Thị Liên</t>
  </si>
  <si>
    <t>SĐT: 0913884199</t>
  </si>
  <si>
    <t>Bồn nước Inox 500lit có chân sắt</t>
  </si>
  <si>
    <t>Mái che khung gỗ, cột bê tông, mái tôn, không vách, nền xi măng</t>
  </si>
  <si>
    <t>Hàng rào lưới B40, trụ BTCT, móng BTCT, đà BTCT</t>
  </si>
  <si>
    <t>Hàng rào song sắt, cột BTCT, móng BTCT, đà BTCT</t>
  </si>
  <si>
    <t>Chuồng trại chăn nuôi: mái tôn, cột sắt, lưới B40, nền lưới</t>
  </si>
  <si>
    <t>Mái che khung sắt tiền chế: mái tôn, không vách, nền gạch tàu</t>
  </si>
  <si>
    <t>Nền gạch Terrazzo</t>
  </si>
  <si>
    <t>Nguyễn Văn Ninh</t>
  </si>
  <si>
    <t>Lê Thị Mỹ Hằng</t>
  </si>
  <si>
    <t>SĐT: 0353333319</t>
  </si>
  <si>
    <t>Đất trống</t>
  </si>
  <si>
    <t>Chế Văn Hiệp</t>
  </si>
  <si>
    <t xml:space="preserve">SĐT: </t>
  </si>
  <si>
    <t>Thửa đất số 40, tờ bản đồ số 1
(Trích từ thửa đất số 375, tờ BĐĐC số 3)</t>
  </si>
  <si>
    <t>Thửa đất số 23, tờ bản đồ số 1
(Trích từ thửa đất số 161, tờ BĐĐC số 3)</t>
  </si>
  <si>
    <t>Thửa đất số 22, tờ bản đồ số 1
(Trích từ thửa đất số 236, tờ BĐĐC số 3)</t>
  </si>
  <si>
    <t>Thửa đất số 17, tờ bản đồ số 1
(Trích từ thửa đất số 199, tờ BĐĐC số 3)</t>
  </si>
  <si>
    <t>Thửa đất số 08, tờ bản đồ số 1
(Trích từ thửa đất số 189, tờ BĐĐC số 3)</t>
  </si>
  <si>
    <t>Thửa đất số 31, tờ bản đồ số 1
(Trích từ thửa đất số 217, tờ BĐĐC số 3)</t>
  </si>
  <si>
    <t>Thửa đất số 41, tờ bản đồ số 1
(Trích từ thửa đất số 283, tờ BĐĐC số 3)</t>
  </si>
  <si>
    <t>Thửa đất số 44, tờ bản đồ số 1
(Trích từ thửa đất số 188, tờ BĐĐC số 7)</t>
  </si>
  <si>
    <t>Thửa đất số 39, tờ bản đồ số 1
(Trích từ thửa đất số 04, tờ BĐĐC số 73)</t>
  </si>
  <si>
    <t>Thửa đất số 37, tờ bản đồ số 1
(Trích từ thửa đất số 235, tờ BĐĐC số 7)</t>
  </si>
  <si>
    <t>Thửa đất số 07, tờ bản đồ số 1
(Trích từ thửa đất số 239, tờ BĐĐC số 3)</t>
  </si>
  <si>
    <t>Thửa đất số 79, tờ bản đồ số 1
(Trích từ thửa đất số 153, tờ BĐĐC số 6)</t>
  </si>
  <si>
    <t>Thửa đất số 19, tờ bản đồ số 01
(Trích từ thửa đất số 201, tờ BĐĐC số 3)</t>
  </si>
  <si>
    <t>Thửa đất số 09, tờ bản đồ số 1
(Trích từ thửa đất số 189, tờ BĐĐC số 3)</t>
  </si>
  <si>
    <t>Thửa đất số 16, tờ bản đồ số 1
(Trích từ thửa đất số 198, tờ BĐĐC số 3)</t>
  </si>
  <si>
    <t>Thửa đất số 20, tờ bản đồ số 1
(Trích từ thửa đất số 188, tờ BĐĐC số 3)</t>
  </si>
  <si>
    <t>Thửa đất số 10, tờ bản đồ số 1
(Trích từ thửa đất số 187, tờ BĐĐC số 3)</t>
  </si>
  <si>
    <t>Thửa đất số 06, tờ bản đồ số 1
(Trích từ thửa đất số 190, tờ BĐĐC số 3)</t>
  </si>
  <si>
    <t>Thửa đất số 05, tờ bản đồ số 1
(Trích từ thửa đất số 191, tờ BĐĐC số 3)</t>
  </si>
  <si>
    <t>Thửa đất số 01, tờ bản đồ số 1
(Trích từ thửa đất số 155, tờ BĐĐC số 3)</t>
  </si>
  <si>
    <t>Thửa đất số 11, tờ bản đồ số 1
(Trích từ thửa đất số 147, tờ BĐĐC số 3)</t>
  </si>
  <si>
    <t>Thửa đất số 12, tờ bản đồ số 1
(Trích từ thửa đất số 195, tờ BĐĐC số 3)</t>
  </si>
  <si>
    <t>Thửa đất số 110, tờ bản đồ số 1
(Trích từ thửa đất số 32, tờ BĐĐC số 12)</t>
  </si>
  <si>
    <t>Thửa đất số 14, tờ bản đồ số 1
(Trích từ thửa đất số 390, tờ BĐĐC số 3)</t>
  </si>
  <si>
    <t>Thửa đất số 15, tờ bản đồ số 1
(Trích từ thửa đất số 391, tờ BĐĐC số 3)</t>
  </si>
  <si>
    <t>Thửa đất số 36, tờ bản đồ số 1
(Trích từ thửa đất số 301, tờ BĐĐC số 3)</t>
  </si>
  <si>
    <t>Thửa đất số 46, tờ bản đồ số 1
(Trích từ thửa đất số 141, tờ BĐĐC số 6)</t>
  </si>
  <si>
    <t>Thửa đất số 47, tờ bản đồ số 1
(Trích từ thửa đất số 239, tờ BĐĐC số 7)</t>
  </si>
  <si>
    <t>Thửa đất số 45, tờ bản đồ số 1
(Trích từ thửa đất số 142, tờ BĐĐC số 6)</t>
  </si>
  <si>
    <t>Thửa đất số 24, tờ bản đồ số 1
(Trích từ thửa đất số 382, tờ BĐĐC số 3)</t>
  </si>
  <si>
    <t>Thửa đất số 02, tờ bản đồ số 1
(Trích từ thửa đất số 193, tờ BĐĐC số 3)</t>
  </si>
  <si>
    <t>Thửa đất số 03, tờ bản đồ số 1
(Trích từ thửa đất số 364, tờ BĐĐC số 3)</t>
  </si>
  <si>
    <t>Thửa đất số 18, tờ bản đồ số 1
(Trích từ thửa đất số 200, tờ BĐĐC số 3)</t>
  </si>
  <si>
    <t>Thửa đất số 75, tờ bản đồ số 1
(Trích từ thửa đất số 150, tờ BĐĐC số 6)</t>
  </si>
  <si>
    <t>Thửa đất số 99, tờ bản đồ số 1
(Trích từ thửa đất số 156, tờ BĐĐC số 6)</t>
  </si>
  <si>
    <t>Thửa đất số 73, tờ bản đồ số 1
(Trích từ thửa đất số 123, tờ BĐĐC số 6)</t>
  </si>
  <si>
    <t>Thửa đất số 78, tờ bản đồ số 1
(Trích từ thửa đất số 152, tờ BĐĐC số 6)</t>
  </si>
  <si>
    <t>Thửa đất số 80, tờ bản đồ số 1
(Trích từ thửa đất số 154, tờ BĐĐC số 6)</t>
  </si>
  <si>
    <t>Thửa đất số 76, tờ bản đồ số 1
(Trích từ thửa đất số 151, tờ BĐĐC số 6)</t>
  </si>
  <si>
    <t xml:space="preserve">Nguyễn Việt Trường
Mai Xuân Mỹ   </t>
  </si>
  <si>
    <t>Thửa đất số 57, tờ bản đồ số 1
(Trích từ thửa đất số 145, tờ BĐĐC số 6)</t>
  </si>
  <si>
    <t>Thửa đất số 100, tờ bản đồ số 1
(Trích từ thửa đất số 157, tờ BĐĐC số 6)</t>
  </si>
  <si>
    <t>Thửa đất số 58, tờ bản đồ số 1
(Trích từ thửa đất số 251, tờ BĐĐC số 7)</t>
  </si>
  <si>
    <t>Thửa đất số 65, tờ bản đồ số 1
(Trích từ thửa đất số 254, tờ BĐĐC số 7)</t>
  </si>
  <si>
    <t>Thửa đất số 66, tờ bản đồ số 1
(Trích từ thửa đất số 255, tờ BĐĐC số 7)</t>
  </si>
  <si>
    <t>Thửa đất số 83, tờ bản đồ số 1
(Trích từ thửa đất số 249, tờ BĐĐC số 7)</t>
  </si>
  <si>
    <t>Thửa đất số 59, tờ bản đồ số 1
(Trích từ thửa đất số 253, tờ BĐĐC số 7)</t>
  </si>
  <si>
    <t xml:space="preserve">Trần Thị Anh Đào </t>
  </si>
  <si>
    <t>Thửa đất số 67, tờ bản đồ số 1
(Trích từ thửa đất số 257, tờ BĐĐC số 7)</t>
  </si>
  <si>
    <t>Thửa đất số 98, tờ bản đồ số 1
(Trích từ thửa đất số 90, tờ BĐĐC số 6)</t>
  </si>
  <si>
    <t>Thửa đất số 56, tờ bản đồ số 1
(Trích từ thửa đất số 144, tờ BĐĐC số 6)</t>
  </si>
  <si>
    <t>Thửa đất số 82, tờ bản đồ số 1
(Trích từ thửa đất số 250, tờ BĐĐC số 7)</t>
  </si>
  <si>
    <t>Thửa đất số 34, tờ bản đồ số 1
(Trích từ thửa đất số 216, tờ BĐĐC số 7)</t>
  </si>
  <si>
    <t>Thửa đất số 81, tờ bản đồ số 1
(Trích từ thửa đất số 155, tờ BĐĐC số 6)</t>
  </si>
  <si>
    <t>Thửa đất số 72, tờ bản đồ số 1
(Trích từ thửa đất số 225, tờ BĐĐC số 6)</t>
  </si>
  <si>
    <t>Thửa đất số 95, tờ bản đồ số 1
(Trích từ thửa đất số 51, tờ BĐĐC số 6)</t>
  </si>
  <si>
    <t>Thửa đất số 103, tờ bản đồ số 1
(Trích từ thửa đất số 70, tờ BĐĐC số 6)</t>
  </si>
  <si>
    <t>Thửa đất số 106, tờ bản đồ số 1
(Trích từ thửa đất số 72, tờ BĐĐC số 6)</t>
  </si>
  <si>
    <t>Thửa đất số 63, tờ bản đồ số 1
(Trích từ thửa đất số 125, tờ BĐĐC số 6)</t>
  </si>
  <si>
    <t>Thửa đất số 64, tờ bản đồ số 1
(Trích từ thửa đất số 124, tờ BĐĐC số 6)</t>
  </si>
  <si>
    <t>Thửa đất số 61, tờ bản đồ số 1
(Trích từ thửa đất số 41, tờ BĐĐC số 6)</t>
  </si>
  <si>
    <t>Thửa đất số 54, tờ bản đồ số 1
(Trích từ thửa đất số 148, tờ BĐĐC số 6)</t>
  </si>
  <si>
    <t>Trần Huỳnh Châu</t>
  </si>
  <si>
    <t>Thửa đất số 118, tờ bản đồ số 1
(Trích từ thửa đất số 135, tờ BĐĐC số 12)</t>
  </si>
  <si>
    <t>Huỳnh Thị Diễm Thúy</t>
  </si>
  <si>
    <t>Thửa đất số 94, tờ bản đồ số 1
(Trích từ thửa đất số 149, tờ BĐĐC số 7)</t>
  </si>
  <si>
    <t>Thửa đất số 101, tờ bản đồ số 1
(Trích từ thửa đất số 85, tờ BĐĐC số 6)</t>
  </si>
  <si>
    <t>Thửa đất số 109, tờ bản đồ số 1
(Trích từ thửa đất số 69, tờ BĐĐC số 6)</t>
  </si>
  <si>
    <t>Thửa đất số 120, tờ bản đồ số 1
(Trích từ thửa đất số 38, tờ BĐĐC số 12)</t>
  </si>
  <si>
    <t>Thửa đất số 105, tờ bản đồ số 1
(Trích từ thửa đất số 94, tờ BĐĐC số 6)</t>
  </si>
  <si>
    <t>Thửa đất số 117, tờ bản đồ số 1
(Trích từ thửa đất số 84, tờ BĐĐC số 6)</t>
  </si>
  <si>
    <t>Thửa đất số 122, tờ bản đồ số 1
(Trích từ thửa đất số 39, tờ BĐĐC số 12)</t>
  </si>
  <si>
    <t>Võ Thị Thi</t>
  </si>
  <si>
    <t>Thửa đất số 107, tờ bản đồ số 1
(Trích từ thửa đất số 108, tờ BĐĐC số 6)</t>
  </si>
  <si>
    <t>Thửa đất số 108, tờ bản đồ số 1
(Trích từ thửa đất số 88, tờ BĐĐC số 6)</t>
  </si>
  <si>
    <t>Thửa đất số 116, tờ bản đồ số 1
(Trích từ thửa đất số 35, tờ BĐĐC số 12)</t>
  </si>
  <si>
    <t>Nguyễn Công Thiết</t>
  </si>
  <si>
    <t>Thửa đất số 104, tờ bản đồ số 1
(Trích từ thửa đất số 121, tờ BĐĐC số 6)</t>
  </si>
  <si>
    <t>Đoàn Văn Ngoan
Nguyễn Thị Ngọc Giàu</t>
  </si>
  <si>
    <t>Thửa đất số 115, tờ bản đồ số 1
(Trích từ thửa đất số 34, tờ BĐĐC số 12)</t>
  </si>
  <si>
    <t>Nguyễn Văn Gát</t>
  </si>
  <si>
    <t>Thửa đất số 123, tờ bản đồ số 1
(Trích từ thửa đất số 89, tờ BĐĐC số 6)</t>
  </si>
  <si>
    <t>Nguyễn Văn Chử
Nguyễn Thị Phương Thúy</t>
  </si>
  <si>
    <t>Thửa đất số 35, tờ bản đồ số 1
(Trích từ thửa đất số 218, tờ BĐĐC số 7)</t>
  </si>
  <si>
    <t>Lê Thanh Hoàn
Tiêu Mỹ Lan</t>
  </si>
  <si>
    <t>Thửa đất số 112, tờ bản đồ số 1
(Trích từ thửa đất số 11, tờ BĐĐC số 12)</t>
  </si>
  <si>
    <t>Trần Văn Cư
Thân Thị Tuyết Hạnh</t>
  </si>
  <si>
    <t>Thửa đất số 111, tờ bản đồ số 1
(Trích từ thửa đất số 12, tờ BĐĐC số 12)</t>
  </si>
  <si>
    <t>Thửa đất số 102, tờ bản đồ số 1
(Trích từ thửa đất số 82, tờ BĐĐC số 6)</t>
  </si>
  <si>
    <t>Thửa đất số 113, tờ bản đồ số 1
(Trích từ thửa đất số 13, tờ BĐĐC số 12)</t>
  </si>
  <si>
    <t>Thửa đất số 85, tờ bản đồ số 1
(Trích từ thửa đất số 103, tờ BĐĐC số 7)</t>
  </si>
  <si>
    <t>Thửa đất số 90, tờ bản đồ số 1
(Trích từ thửa đất số 151, tờ BĐĐC số 7)</t>
  </si>
  <si>
    <t>Ngô Văn Hạp
Trần Thị Ngọc Nga</t>
  </si>
  <si>
    <t>Thửa đất số 88, tờ bản đồ số 1
(Trích từ thửa đất số 106, tờ BĐĐC số 7)</t>
  </si>
  <si>
    <t>Ngô Thị Kim Chi</t>
  </si>
  <si>
    <t>Thửa đất số 89, tờ bản đồ số 1
(Trích từ thửa đất số 107, tờ BĐĐC số 7)</t>
  </si>
  <si>
    <t>Thửa đất số 71, tờ bản đồ số 1
(Trích từ thửa đất số 83, tờ BĐĐC số 6)</t>
  </si>
  <si>
    <t>Thửa đất số 87, tờ bản đồ số 1
(Trích từ thửa đất số 105, tờ BĐĐC số 7)</t>
  </si>
  <si>
    <t>Thửa đất số 84, tờ bản đồ số 1
(Trích từ thửa đất số 102, tờ BĐĐC số 7)</t>
  </si>
  <si>
    <t>Thửa đất số 86, tờ bản đồ số 1
(Trích từ thửa đất số 104, tờ BĐĐC số 7)</t>
  </si>
  <si>
    <t>Thửa đất số 91, tờ bản đồ số 1
(Trích từ thửa đất số 153, tờ BĐĐC số 7)</t>
  </si>
  <si>
    <t>Thửa đất số 92, tờ bản đồ số 1
(Trích từ thửa đất số 154, tờ BĐĐC số 7)</t>
  </si>
  <si>
    <t xml:space="preserve">Phạm Thị Mỹ Hạnh </t>
  </si>
  <si>
    <t>Thửa đất số 55, tờ bản đồ số 1
(Trích từ thửa đất số 08, tờ BĐĐC số 12)</t>
  </si>
  <si>
    <t>Thửa đất số 96, tờ bản đồ số 1
(Trích từ thửa đất số 48, tờ BĐĐC số 6)</t>
  </si>
  <si>
    <t>Thửa đất số 97, tờ bản đồ số 1
(Trích từ thửa đất số 74, tờ BĐĐC số 6)</t>
  </si>
  <si>
    <t>Thửa đất số 93, tờ bản đồ số 1
(Trích từ thửa đất số 245, tờ BĐĐC số 7)</t>
  </si>
  <si>
    <t xml:space="preserve">Võ Thị Mỹ Nương </t>
  </si>
  <si>
    <t>Thửa đất số 42, tờ bản đồ số 1
(Trích từ thửa đất số 229, tờ BĐĐC số 7)</t>
  </si>
  <si>
    <t>Thửa đất số 48, tờ bản đồ số 1
(Trích từ thửa đất số 240, tờ BĐĐC số 7)</t>
  </si>
  <si>
    <t>Trần Hồng Tư (Trần Văn Xê)</t>
  </si>
  <si>
    <t>Thửa đất số 50, tờ bản đồ số 1
(Trích từ thửa đất số 110, tờ BĐĐC số 6)</t>
  </si>
  <si>
    <t>Phùng Thị Mỹ Phượng</t>
  </si>
  <si>
    <t>Vũ Đức Nghĩa
Lê Thị Thanh Tuyền</t>
  </si>
  <si>
    <t>Thửa đất số 126, tờ bản đồ số 1
(Trích từ thửa đất số 96, tờ BĐĐC số 6)</t>
  </si>
  <si>
    <t>Trương Thị Mỹ Ánh</t>
  </si>
  <si>
    <t>Thửa đất số 28, tờ bản đồ số 1
(Trích từ thửa đất số 393, tờ BĐĐC số 3)</t>
  </si>
  <si>
    <t>Thửa đất số 04, tờ bản đồ số 1
(Trích từ thửa đất số 363, tờ BĐĐC số 3)</t>
  </si>
  <si>
    <t>Trang Nhật Trường</t>
  </si>
  <si>
    <t>Thửa đất số 49, tờ bản đồ số 1
(Trích từ thửa đất số 181, tờ BĐĐC số 7)</t>
  </si>
  <si>
    <t xml:space="preserve">Lâm Mỹ Trinh </t>
  </si>
  <si>
    <t>Thửa đất số 124, tờ bản đồ số 1
(Trích từ thửa đất số 97, tờ BĐĐC số 6)</t>
  </si>
  <si>
    <t>Thửa đất số 26, tờ bản đồ số 1
(Trích từ thửa đất số 292, tờ BĐĐC số 3)</t>
  </si>
  <si>
    <t>Thửa đất số 32, tờ bản đồ số 1
(Trích từ thửa đất số 132, tờ BĐĐC số 6)</t>
  </si>
  <si>
    <t>Thửa đất số 69, tờ bản đồ số 1
(Trích từ thửa đất số 172, tờ BĐĐC số 7)</t>
  </si>
  <si>
    <t xml:space="preserve">Huỳnh Thị Huyền Trang </t>
  </si>
  <si>
    <t>Thửa đất số 27, tờ bản đồ số 1
(Trích từ thửa đất số 392, tờ BĐĐC số 3)</t>
  </si>
  <si>
    <t>Thửa đất số 51, tờ bản đồ số 1
(Trích từ thửa đất số 20, tờ BĐĐC số 6)</t>
  </si>
  <si>
    <t>Nhà cấp 4: Móng gạch + BTCT, cột gạch + BTCT, mái tôn, trần tôn lạnh, tường xây gạch có tô + sơn bê, nền gạch men, cửa sắt kéo, có nhà vệ sinh trong nhà</t>
  </si>
  <si>
    <t>Đại diện: Trần Thị Đặng</t>
  </si>
  <si>
    <t>ĐT: 0765258000</t>
  </si>
  <si>
    <t>Thửa đất số 33, tờ bản đồ số 1
(Trích từ thửa đất số 135, tờ BĐĐC số 6)</t>
  </si>
  <si>
    <t>Thửa đất số 13, tờ bản đồ số 1
(Trích từ thửa đất số 377, tờ BĐĐC số 3)</t>
  </si>
  <si>
    <t>Thửa đất số 30, tờ bản đồ số 1
(Trích từ thửa đất số 263, tờ BĐĐC số 3)</t>
  </si>
  <si>
    <t>Nguyễn Thành Trung
Nguyễn Thị Thu Mai</t>
  </si>
  <si>
    <t>SĐT: 0908883505</t>
  </si>
  <si>
    <t>Thửa đất số 29, tờ bản đồ số 1
(Trích từ thửa đất số 384, tờ BĐĐC số 3)</t>
  </si>
  <si>
    <t xml:space="preserve">Ngô Thị Vân Chi </t>
  </si>
  <si>
    <t xml:space="preserve">Trần Thị Bé Sáu </t>
  </si>
  <si>
    <t xml:space="preserve">Châu Thị Hồng </t>
  </si>
  <si>
    <t>ĐT: 0984127759
       0931551469</t>
  </si>
  <si>
    <t>Hầm tự hoại (mỗi hầm đặt 04 ống cống đường kính 100cm cao 0,5m): 2 cái</t>
  </si>
  <si>
    <t>2 hầm</t>
  </si>
  <si>
    <t>Nhà cấp 3: Móng bê tông cốt thép, sàn bê tông cốt thép, tường xây gạch có tô sơn bê, mặt trong sơn bê + ốp gạch men cao 1,5m, có lầu, nền gạch men, cửa sắt kính, mái tôn</t>
  </si>
  <si>
    <r>
      <t xml:space="preserve">Nhà cấp 3: Móng bê tông cốt thép, sàn bê tông cốt thép, tường xây gạch có tô sơn bê, mặt trong sơn bê + ốp gạch men cao 1,5m, </t>
    </r>
    <r>
      <rPr>
        <sz val="12"/>
        <color indexed="10"/>
        <rFont val="Times New Roman"/>
        <family val="1"/>
      </rPr>
      <t>không có lầu,</t>
    </r>
    <r>
      <rPr>
        <sz val="12"/>
        <rFont val="Times New Roman"/>
        <family val="1"/>
      </rPr>
      <t xml:space="preserve"> nền gạch men, cửa sắt kính, mái tôn</t>
    </r>
  </si>
  <si>
    <t>* Ý kiến khác: Yêu cầu bồi thường đất sang lấp mặt bằng cho gia đình với số lượng 80 xe.
1 xe đất = 1.300.000 đồng</t>
  </si>
  <si>
    <t>Đ/c: Đường Ngô Gia Tự, Khu phố 1, Phường 2, thành phố Tây Ninh</t>
  </si>
  <si>
    <r>
      <t>Giảm 8% đơn giá do tường tô xi măng
Giảm 150.000 đồng/m</t>
    </r>
    <r>
      <rPr>
        <vertAlign val="superscript"/>
        <sz val="11"/>
        <rFont val="Times New Roman"/>
        <family val="1"/>
      </rPr>
      <t>2</t>
    </r>
    <r>
      <rPr>
        <sz val="11"/>
        <rFont val="Times New Roman"/>
        <family val="1"/>
      </rPr>
      <t xml:space="preserve"> do không đóng trần.
Giảm 160.000 đồng/m</t>
    </r>
    <r>
      <rPr>
        <vertAlign val="superscript"/>
        <sz val="11"/>
        <rFont val="Times New Roman"/>
        <family val="1"/>
      </rPr>
      <t>2</t>
    </r>
    <r>
      <rPr>
        <sz val="11"/>
        <rFont val="Times New Roman"/>
        <family val="1"/>
      </rPr>
      <t xml:space="preserve"> do nền láng xi măng.
Giảm 5% đơn giá do không có nhà vệ sinh trong nhà
3.230.000 - (3.230.000 x 8%)-150.000 - 160.000 - (5% x 3.230.000) = 2.500.100 đồng/m</t>
    </r>
    <r>
      <rPr>
        <vertAlign val="superscript"/>
        <sz val="11"/>
        <rFont val="Times New Roman"/>
        <family val="1"/>
      </rPr>
      <t>2</t>
    </r>
  </si>
  <si>
    <r>
      <t>Cộng thêm 160.000 đồng/m</t>
    </r>
    <r>
      <rPr>
        <vertAlign val="superscript"/>
        <sz val="11"/>
        <rFont val="Times New Roman"/>
        <family val="1"/>
      </rPr>
      <t>2</t>
    </r>
    <r>
      <rPr>
        <sz val="11"/>
        <rFont val="Times New Roman"/>
        <family val="1"/>
      </rPr>
      <t xml:space="preserve"> do nền lát gạch men</t>
    </r>
  </si>
  <si>
    <r>
      <t>Giảm 5% đơn giá do không có nhà vệ sinh trong nhà
3.230.000 - (5% x 3.230.000) = 3.068.500 đồng/m</t>
    </r>
    <r>
      <rPr>
        <vertAlign val="superscript"/>
        <sz val="11"/>
        <rFont val="Times New Roman"/>
        <family val="1"/>
      </rPr>
      <t>2</t>
    </r>
  </si>
  <si>
    <r>
      <t>Giảm 8% đơn giá do tường quét vôi.
3.230.000-(8% x 3.230.000) = 2.971.600 đồng/m</t>
    </r>
    <r>
      <rPr>
        <vertAlign val="superscript"/>
        <sz val="11"/>
        <rFont val="Times New Roman"/>
        <family val="1"/>
      </rPr>
      <t>2</t>
    </r>
  </si>
  <si>
    <r>
      <t>Giảm 8% đơn giá do tường quét vôi.
Giảm 5% đơn giá do không có nhà vệ sinh trong nhà
3.230.000 - (8% x 3.230.000) -(5% x 3.230.000) = 2.810.100 đồng/m</t>
    </r>
    <r>
      <rPr>
        <vertAlign val="superscript"/>
        <sz val="11"/>
        <rFont val="Times New Roman"/>
        <family val="1"/>
      </rPr>
      <t>2</t>
    </r>
  </si>
  <si>
    <r>
      <t>Giảm 8% đơn giá do tường quét vôi.
Giảm 150.000 đồng/m</t>
    </r>
    <r>
      <rPr>
        <vertAlign val="superscript"/>
        <sz val="11"/>
        <rFont val="Times New Roman"/>
        <family val="1"/>
      </rPr>
      <t>2</t>
    </r>
    <r>
      <rPr>
        <sz val="11"/>
        <rFont val="Times New Roman"/>
        <family val="1"/>
      </rPr>
      <t xml:space="preserve"> do không đóng trần.
Giảm 5% đơn giá do không có nhà vệ sinh trong nhà
3.230.000-(8% x 3.230000) -150.000 - (5% x 3.230.000) = 2.660.100 đồng/m</t>
    </r>
    <r>
      <rPr>
        <vertAlign val="superscript"/>
        <sz val="11"/>
        <rFont val="Times New Roman"/>
        <family val="1"/>
      </rPr>
      <t>2</t>
    </r>
  </si>
  <si>
    <r>
      <t>Giảm 25% đơn giá do toàn bộ tường không tô trát.
Giảm 150.000 đồng/m</t>
    </r>
    <r>
      <rPr>
        <vertAlign val="superscript"/>
        <sz val="11"/>
        <rFont val="Times New Roman"/>
        <family val="1"/>
      </rPr>
      <t>2</t>
    </r>
    <r>
      <rPr>
        <sz val="11"/>
        <rFont val="Times New Roman"/>
        <family val="1"/>
      </rPr>
      <t xml:space="preserve"> do không đóng trần.
Giảm 160.000 đồng/m</t>
    </r>
    <r>
      <rPr>
        <vertAlign val="superscript"/>
        <sz val="11"/>
        <rFont val="Times New Roman"/>
        <family val="1"/>
      </rPr>
      <t>2</t>
    </r>
    <r>
      <rPr>
        <sz val="11"/>
        <rFont val="Times New Roman"/>
        <family val="1"/>
      </rPr>
      <t xml:space="preserve"> do nền láng xi măng.
3.230.000 - (25% x 3.230.000) -150.000 - 160.000 = 2.112.500 đồng/m</t>
    </r>
    <r>
      <rPr>
        <vertAlign val="superscript"/>
        <sz val="11"/>
        <rFont val="Times New Roman"/>
        <family val="1"/>
      </rPr>
      <t>2</t>
    </r>
  </si>
  <si>
    <r>
      <t>Giảm 8% đơn giá do tường quét vôi.
Giảm 150.000 đồng/m</t>
    </r>
    <r>
      <rPr>
        <vertAlign val="superscript"/>
        <sz val="11"/>
        <rFont val="Times New Roman"/>
        <family val="1"/>
      </rPr>
      <t>2</t>
    </r>
    <r>
      <rPr>
        <sz val="11"/>
        <rFont val="Times New Roman"/>
        <family val="1"/>
      </rPr>
      <t xml:space="preserve"> do không đóng trần.
Giảm 160.000 đồng/m</t>
    </r>
    <r>
      <rPr>
        <vertAlign val="superscript"/>
        <sz val="11"/>
        <rFont val="Times New Roman"/>
        <family val="1"/>
      </rPr>
      <t>2</t>
    </r>
    <r>
      <rPr>
        <sz val="11"/>
        <rFont val="Times New Roman"/>
        <family val="1"/>
      </rPr>
      <t xml:space="preserve"> do nền láng xi măng.
Giảm 5% đơn giá do không có nhà vệ sinh trong nhà.
3.230.000 - (8% x 3.230.000) -150.000 - 160.000 - (5% x 3.230.000) = 2.500.100 đồng/m</t>
    </r>
    <r>
      <rPr>
        <vertAlign val="superscript"/>
        <sz val="11"/>
        <rFont val="Times New Roman"/>
        <family val="1"/>
      </rPr>
      <t>2</t>
    </r>
  </si>
  <si>
    <r>
      <t>Giảm 8% đơn giá do tường quét vôi.
Giảm 5% đơn giá do không có nhà vệ sinh trong nhà.
3.230.000 - (8% x 3.230.000) - (5% x 3.230.000) = 2.810.100 đồng/m</t>
    </r>
    <r>
      <rPr>
        <vertAlign val="superscript"/>
        <sz val="11"/>
        <rFont val="Times New Roman"/>
        <family val="1"/>
      </rPr>
      <t>2</t>
    </r>
  </si>
  <si>
    <r>
      <t>Xây nhà trên đất ông Nguyễn Đăng Khoa năm 2006.
Giảm 8% đơn giá do tường quét vôi toàn bộ.
3.230.000 - (8% x 3.230.000) = 2.971.600 đồng/m</t>
    </r>
    <r>
      <rPr>
        <vertAlign val="superscript"/>
        <sz val="11"/>
        <rFont val="Times New Roman"/>
        <family val="1"/>
      </rPr>
      <t>2</t>
    </r>
  </si>
  <si>
    <r>
      <t>Giảm 150.000 đồng/m</t>
    </r>
    <r>
      <rPr>
        <vertAlign val="superscript"/>
        <sz val="11"/>
        <rFont val="Times New Roman"/>
        <family val="1"/>
      </rPr>
      <t>2</t>
    </r>
    <r>
      <rPr>
        <sz val="11"/>
        <rFont val="Times New Roman"/>
        <family val="1"/>
      </rPr>
      <t xml:space="preserve"> do không đóng trần.
Giảm 160.000 đồng/m</t>
    </r>
    <r>
      <rPr>
        <vertAlign val="superscript"/>
        <sz val="11"/>
        <rFont val="Times New Roman"/>
        <family val="1"/>
      </rPr>
      <t>2</t>
    </r>
    <r>
      <rPr>
        <sz val="11"/>
        <rFont val="Times New Roman"/>
        <family val="1"/>
      </rPr>
      <t xml:space="preserve"> do nền láng xi măng.
3.230.000 - 150.000 - 160.000 = 2.920.000 đồng/m</t>
    </r>
    <r>
      <rPr>
        <vertAlign val="superscript"/>
        <sz val="11"/>
        <rFont val="Times New Roman"/>
        <family val="1"/>
      </rPr>
      <t>2</t>
    </r>
  </si>
  <si>
    <t>Giảm 8% đơn giá do tường quét vôi.
Giảm 5% đơn giá do không có nhà vệ sinh trong nhà.</t>
  </si>
  <si>
    <r>
      <t>Giảm 150.000 đồng/m</t>
    </r>
    <r>
      <rPr>
        <vertAlign val="superscript"/>
        <sz val="11"/>
        <rFont val="Times New Roman"/>
        <family val="1"/>
      </rPr>
      <t>2</t>
    </r>
    <r>
      <rPr>
        <sz val="11"/>
        <rFont val="Times New Roman"/>
        <family val="1"/>
      </rPr>
      <t xml:space="preserve"> do không đóng trần.
Giảm 160.000 đồng/m</t>
    </r>
    <r>
      <rPr>
        <vertAlign val="superscript"/>
        <sz val="11"/>
        <rFont val="Times New Roman"/>
        <family val="1"/>
      </rPr>
      <t>2</t>
    </r>
    <r>
      <rPr>
        <sz val="11"/>
        <rFont val="Times New Roman"/>
        <family val="1"/>
      </rPr>
      <t xml:space="preserve"> do nền láng xi măng.
Giảm 5% đơn giá do không có nhà vệ sinh trong nhà.</t>
    </r>
  </si>
  <si>
    <r>
      <t>Giảm 25% đơn giá do toàn bộ tường không tô trát.
Giảm 5% đơn giá do không có nhà vệ sinh trong nhà.
Giảm 160.000 đồng/m</t>
    </r>
    <r>
      <rPr>
        <vertAlign val="superscript"/>
        <sz val="11"/>
        <rFont val="Times New Roman"/>
        <family val="1"/>
      </rPr>
      <t>2</t>
    </r>
    <r>
      <rPr>
        <sz val="11"/>
        <rFont val="Times New Roman"/>
        <family val="1"/>
      </rPr>
      <t xml:space="preserve"> do nền láng xi măng</t>
    </r>
  </si>
  <si>
    <r>
      <t>Giảm 8% đơn giá do tường quét vôi toàn bộ.
Giảm 150.000 đồng/m</t>
    </r>
    <r>
      <rPr>
        <vertAlign val="superscript"/>
        <sz val="11"/>
        <rFont val="Times New Roman"/>
        <family val="1"/>
      </rPr>
      <t>2</t>
    </r>
    <r>
      <rPr>
        <sz val="11"/>
        <rFont val="Times New Roman"/>
        <family val="1"/>
      </rPr>
      <t xml:space="preserve"> do không đóng trần.</t>
    </r>
  </si>
  <si>
    <r>
      <t>Giảm 150.000 đồng/m</t>
    </r>
    <r>
      <rPr>
        <vertAlign val="superscript"/>
        <sz val="11"/>
        <rFont val="Times New Roman"/>
        <family val="1"/>
      </rPr>
      <t>2</t>
    </r>
    <r>
      <rPr>
        <sz val="11"/>
        <rFont val="Times New Roman"/>
        <family val="1"/>
      </rPr>
      <t xml:space="preserve"> do không đóng trần.
Giảm 4% đơn giá do tường quét vôi mặt ngoài</t>
    </r>
  </si>
  <si>
    <r>
      <t>Diện tích bị ảnh hưởng: 0,83m x 8m = 6,64 m</t>
    </r>
    <r>
      <rPr>
        <vertAlign val="superscript"/>
        <sz val="11"/>
        <rFont val="Times New Roman"/>
        <family val="1"/>
      </rPr>
      <t>2</t>
    </r>
    <r>
      <rPr>
        <sz val="11"/>
        <rFont val="Times New Roman"/>
        <family val="1"/>
      </rPr>
      <t xml:space="preserve">
Diện tích bồi thường đến nhịp cột: 4m x 8m x 2 = 64 m</t>
    </r>
    <r>
      <rPr>
        <vertAlign val="superscript"/>
        <sz val="11"/>
        <rFont val="Times New Roman"/>
        <family val="1"/>
      </rPr>
      <t>2</t>
    </r>
  </si>
  <si>
    <r>
      <t>Giảm 150.000 đồng/m</t>
    </r>
    <r>
      <rPr>
        <vertAlign val="superscript"/>
        <sz val="11"/>
        <rFont val="Times New Roman"/>
        <family val="1"/>
      </rPr>
      <t>2</t>
    </r>
    <r>
      <rPr>
        <sz val="11"/>
        <rFont val="Times New Roman"/>
        <family val="1"/>
      </rPr>
      <t xml:space="preserve"> do không đóng trần.
Giảm 5% đơn giá do không có nhà vệ sinh trong nhà</t>
    </r>
  </si>
  <si>
    <r>
      <t>Giảm 150.000 đồng/m</t>
    </r>
    <r>
      <rPr>
        <vertAlign val="superscript"/>
        <sz val="11"/>
        <rFont val="Times New Roman"/>
        <family val="1"/>
      </rPr>
      <t>2</t>
    </r>
    <r>
      <rPr>
        <sz val="11"/>
        <rFont val="Times New Roman"/>
        <family val="1"/>
      </rPr>
      <t xml:space="preserve"> do không đóng trần.</t>
    </r>
  </si>
  <si>
    <r>
      <rPr>
        <sz val="11"/>
        <rFont val="Times New Roman"/>
        <family val="1"/>
      </rPr>
      <t>Giảm 8% đơn giá  do tường quét vôi toàn bộ.</t>
    </r>
    <r>
      <rPr>
        <sz val="11"/>
        <color indexed="10"/>
        <rFont val="Times New Roman"/>
        <family val="1"/>
      </rPr>
      <t xml:space="preserve">
</t>
    </r>
    <r>
      <rPr>
        <sz val="11"/>
        <rFont val="Times New Roman"/>
        <family val="1"/>
      </rPr>
      <t>Trong đó: 
diện tích nằm trong ranh giới GPMB là = 2,44m x4,0m = 9,76 m</t>
    </r>
    <r>
      <rPr>
        <vertAlign val="superscript"/>
        <sz val="11"/>
        <rFont val="Times New Roman"/>
        <family val="1"/>
      </rPr>
      <t>2</t>
    </r>
  </si>
  <si>
    <r>
      <t>Diện tích bị ảnh hưởng: 2,05m x 4m=8,2 m</t>
    </r>
    <r>
      <rPr>
        <vertAlign val="superscript"/>
        <sz val="11"/>
        <rFont val="Times New Roman"/>
        <family val="1"/>
      </rPr>
      <t>2</t>
    </r>
    <r>
      <rPr>
        <sz val="11"/>
        <rFont val="Times New Roman"/>
        <family val="1"/>
      </rPr>
      <t xml:space="preserve">
Diện tích bồi thường đến nhịp cột: 3,5m x 4m = 14 m</t>
    </r>
    <r>
      <rPr>
        <vertAlign val="superscript"/>
        <sz val="11"/>
        <rFont val="Times New Roman"/>
        <family val="1"/>
      </rPr>
      <t xml:space="preserve">2
</t>
    </r>
    <r>
      <rPr>
        <sz val="11"/>
        <rFont val="Times New Roman"/>
        <family val="1"/>
      </rPr>
      <t>Giảm 8% đơn giá do tường quét vôi toàn bộ.</t>
    </r>
    <r>
      <rPr>
        <vertAlign val="superscript"/>
        <sz val="11"/>
        <rFont val="Times New Roman"/>
        <family val="1"/>
      </rPr>
      <t xml:space="preserve">
</t>
    </r>
    <r>
      <rPr>
        <sz val="11"/>
        <rFont val="Times New Roman"/>
        <family val="1"/>
      </rPr>
      <t>Giảm 5% đơn giá do không có nhà vệ sinh trong nhà.</t>
    </r>
  </si>
  <si>
    <r>
      <t>Trong đó: Diện tích GPMB là = 1,6m x 4,0m = 6,40 m</t>
    </r>
    <r>
      <rPr>
        <vertAlign val="superscript"/>
        <sz val="11"/>
        <rFont val="Times New Roman"/>
        <family val="1"/>
      </rPr>
      <t>2</t>
    </r>
  </si>
  <si>
    <r>
      <t>Giảm 25% đơn giá do tường xây gạch không tô
Giảm 150.000 đồng/m</t>
    </r>
    <r>
      <rPr>
        <vertAlign val="superscript"/>
        <sz val="11"/>
        <rFont val="Times New Roman"/>
        <family val="1"/>
      </rPr>
      <t>2</t>
    </r>
    <r>
      <rPr>
        <sz val="11"/>
        <rFont val="Times New Roman"/>
        <family val="1"/>
      </rPr>
      <t xml:space="preserve"> do không đóng trần</t>
    </r>
  </si>
  <si>
    <r>
      <t>Giảm 8% đơn giá  do tường quét vôi toàn bộ.
Giảm 150.000 đồng/m</t>
    </r>
    <r>
      <rPr>
        <vertAlign val="superscript"/>
        <sz val="11"/>
        <rFont val="Times New Roman"/>
        <family val="1"/>
      </rPr>
      <t>2</t>
    </r>
    <r>
      <rPr>
        <sz val="11"/>
        <rFont val="Times New Roman"/>
        <family val="1"/>
      </rPr>
      <t xml:space="preserve"> do không đóng trần</t>
    </r>
  </si>
  <si>
    <r>
      <t>Giảm 8% đơn giá  do tường quét vôi toàn bộ.
Giảm 160.000 đồng/m</t>
    </r>
    <r>
      <rPr>
        <vertAlign val="superscript"/>
        <sz val="11"/>
        <rFont val="Times New Roman"/>
        <family val="1"/>
      </rPr>
      <t>2</t>
    </r>
    <r>
      <rPr>
        <sz val="11"/>
        <rFont val="Times New Roman"/>
        <family val="1"/>
      </rPr>
      <t xml:space="preserve"> do nền gạch tàu</t>
    </r>
  </si>
  <si>
    <r>
      <t>Cộng thêm 225.000 đồng/m</t>
    </r>
    <r>
      <rPr>
        <vertAlign val="superscript"/>
        <sz val="11"/>
        <rFont val="Times New Roman"/>
        <family val="1"/>
      </rPr>
      <t>2</t>
    </r>
    <r>
      <rPr>
        <sz val="11"/>
        <rFont val="Times New Roman"/>
        <family val="1"/>
      </rPr>
      <t xml:space="preserve"> do mái đổ sàn BTCT</t>
    </r>
  </si>
  <si>
    <r>
      <t>Trong đó: 
Diện tích trong giấy CNQSDĐ = 4,0 x 10,3 = 41,2 m</t>
    </r>
    <r>
      <rPr>
        <vertAlign val="superscript"/>
        <sz val="11"/>
        <color indexed="10"/>
        <rFont val="Times New Roman"/>
        <family val="1"/>
      </rPr>
      <t>2</t>
    </r>
    <r>
      <rPr>
        <sz val="11"/>
        <color indexed="10"/>
        <rFont val="Times New Roman"/>
        <family val="1"/>
      </rPr>
      <t xml:space="preserve">
Diện tích xây dựng trên đất công = 2,85 x 10,3 = 29,36 m</t>
    </r>
    <r>
      <rPr>
        <vertAlign val="superscript"/>
        <sz val="11"/>
        <color indexed="10"/>
        <rFont val="Times New Roman"/>
        <family val="1"/>
      </rPr>
      <t>2</t>
    </r>
  </si>
  <si>
    <t>Đất ở đô thị tiếp giáp hẻm bê tông rộng &lt;3,5m trong phạm vi 150m đầu của đường Ngô Gia Tự đoạn từ đường Trương Quyền đến đường Yết Kiêu (hẻm số 2), phạm vi thu hồi 50m đầu</t>
  </si>
  <si>
    <t>Đất ở đô thị tiếp giáp hẻm bê tông rộng &lt;3,5m trong phạm vi 150m đầu của đường Trương Quyền đoạn từ đường CMT8 (Ngã 3 Lý Dậu) đến đường Trưng
Nữ Vương (Ngã 4 Quốc Tế), phạm vi thu hồi 50m đầu</t>
  </si>
  <si>
    <t>Đất nông nghiệp trồng cây lâu năm tiếp giáp hẻm bê tông rộng &lt;3,5m trong phạm vi 150m đầu của đường Trương Quyền đoạn từ đường CMT8 (Ngã 3 Lý Dậu) đến đường Trưng Nữ Vương (Ngã 4 Quốc Tế), phạm vi thu hồi 50m đầu</t>
  </si>
  <si>
    <t>Đất ở đô thị tiếp giáp hẻm bê tông rộng &lt;3,5m trong phạm vi 150m đầu của đường Trương Quyền đoạn từ đường CMT8 (Ngã 3 Lý Dậu) đến đường Trưng Nữ Vương (Ngã 4 Quốc Tế), phạm vi thu hồi 50m đầu</t>
  </si>
  <si>
    <t>Đất nông nghiệp trồng cây lâu năm tiếp giáp hẻm bê tông rộng &lt;3,5m, độ sâu hẻm trong phạm vi 150m đầu của đường Trương Quyền đoạn từ đường CMT8 (Ngã 3 Lý Dậu) đến đường Trưng Nữ Vương (Ngã 4 Quốc Tế), phạm vi thu hồi 50m đầu</t>
  </si>
  <si>
    <t>Đất nông nghiệp trồng cây hàng năm tiếp giáp hẻm bê tông rộng &lt;3,5m,  độ sâu hẻm trong phạm vi 150m đầu của đường Ngô Gia Tự đoạn từ đường Trương Quyền đến đường Yết Kiêu (hẻm số 2), phạm vi thu hồi 50m đầu</t>
  </si>
  <si>
    <t>Đất nông nghiệp trồng cây lâu năm tiếp giáp hẻm bê tông rộng &lt;3,5m, độ sâu hẻm trong phạm vi 150m đầu của đường Ngô Gia Tự đoạn từ đường Trương Quyền đến đường Yết Kiêu (hẻm số 2), phạm vi thu hồi 50m đầu</t>
  </si>
  <si>
    <t>Đất ở đô thị tiếp giáp hẻm bê tông rộng &lt;3,5m,  độ sâu hẻm trong phạm vi 150m đầu của đường Ngô Gia Tự đoạn từ đường Trương Quyền đến đường Yết Kiêu (hẻm số 2), phạm vi thu hồi 50m đầu</t>
  </si>
  <si>
    <t>Đất ở đô thị tiếp giáp hẻm bê tông rộng &lt;3,5m, độ sâu hẻm trong phạm vi 150m đầu của đường Ngô Gia Tự đoạn từ đường Trương Quyền đến đường Yết Kiêu (hẻm số 2), phạm vi thu hồi 50m đầu</t>
  </si>
  <si>
    <t>Đất ở đô thị tiếp giáp hẻm đường đất rộng &lt;3,5m, độ sâu hẻm trong phạm vi 150m đầu của đường Trương Quyền đoạn từ đường CMT8 (Ngã 3 Lý Dậu) đến đường Trưng Nữ Vương (Ngã 4 Quốc Tế), độ sâu hẻm từ sau thửa đất đầu tiên đến mét thứ 150, phạm vi thu hồi 50m đầu</t>
  </si>
  <si>
    <t>Đất ở đô thị  tiếp giáp hẻm bê tông rộng &lt;3,5m, độ sâu hẻm trong phạm vi 150m đầu của đường Ngô Gia Tự đoạn từ đường Trương Quyền đến đường Yết Kiêu (hẻm số 2), phạm vi thu hồi 50m đầu</t>
  </si>
  <si>
    <t>Mái che khung sắt tiền chế: mái tôn, có vách, nền gạch bông (1 vách)</t>
  </si>
  <si>
    <t>Đất ở đô thị tiếp giáp hẻm bê tông rộng &lt;3,5m, độ sâu hẻm trong phạm vi 150m đầu của đường Trương Quyền đoạn từ đường CMT8 (Ngã 3 Lý Dậu) đến đường Trưng Nữ Vương (Ngã 4 Quốc Tế), phạm vi thu hồi 50m đầu</t>
  </si>
  <si>
    <t>Đất ở đô thị  tiếp giáp hẻm bê tông rộng &lt;3,5m, độ sâu hẻm trong phạm vi 150m đầu của đường Trương Quyền đoạn từ đường CMT8 (Ngã 3 Lý Dậu) đến đường Trưng Nữ Vương (Ngã 4 Quốc Tế), phạm vi thu hồi 50m đầu</t>
  </si>
  <si>
    <t>Đất ở đô thị tiếp giáp hẻm đường đất rộng &lt;3,5m, độ sâu hẻm trong phạm vi 150m đầu của đường Trương Quyền đoạn từ đường CMT8 (Ngã 3 Lý Dậu) đến đường Trưng Nữ Vương (Ngã 4 Quốc Tế), phạm vi thu hồi 50m đầu</t>
  </si>
  <si>
    <t>Đất nông nghiệp trồng cây hàng năm tiếp giáp hẻm bê tông rộng &lt;3,5m, độ sâu hẻm trong phạm vi 150m đầu của đường Trương Quyền đoạn từ đường CMT8 (Ngã 3 Lý Dậu) đến đường Trưng Nữ Vương (Ngã 4 Quốc Tế), phạm vi thu hồi 50m đầu</t>
  </si>
  <si>
    <t>Đất nông nghiệp trồng cây hàng năm  tiếp giáp hẻm bê tông rộng &lt;3,5m, độ sâu hẻm trong phạm vi 150m đầu của đường Trương Quyền đoạn từ đường CMT8 (Ngã 3 Lý Dậu) đến đường Trưng Nữ Vương (Ngã 4 Quốc Tế), phạm vi thu hồi 50m đầu</t>
  </si>
  <si>
    <t>Đất ở đô thị  tiếp giáp hẻm đường đất rộng &lt;3,5m, độ sâu hẻm trong phạm vi 150m đầu của đường Trương Quyền đoạn từ đường CMT8 (Ngã 3 Lý Dậu) đến đường Trưng Nữ Vương (Ngã 4 Quốc Tế), phạm vi thu hồi 50m đầu</t>
  </si>
  <si>
    <t>Đất ở đô thị tiếp giáp đường Trương
Quyền đoạn từ đường CMT8 (Ngã 3 Lý Dậu) đến đường Trưng Nữ Vương (Ngã 4 Quốc Tế), phạm vi thu hồi sau mét thứ 50</t>
  </si>
  <si>
    <t>Thửa đất số 74, tờ bản đồ số 1
(Trích từ thửa đất số 149, tờ BĐĐC số 6)</t>
  </si>
  <si>
    <t xml:space="preserve">ĐT: 0855202621 </t>
  </si>
  <si>
    <t>Rau muống nước</t>
  </si>
  <si>
    <t>Đất ở đô thị tiếp giáp hẻm đường đất rộng &lt;3,5m, độ sâu hẻm trong phạm vi 150m đầu của đường Trương Quyền đoạn từ đường CMT8 (Ngã 3 Lý Dậu) đến đường Trưng Nữ Vương (Ngã 4 Quốc Tế), phạm vi thu hồi 50 mét đầu</t>
  </si>
  <si>
    <t>Đất nông nghiệp trồng cây lâu năm tiếp giáp đường Trương Quyền đoạn từ đường CMT8 (Ngã 3 Lý Dậu) đến đường Trưng Nữ Vương (Ngã 4 Quốc Tế), phạm vi thu hồi sau mét thứ 50</t>
  </si>
  <si>
    <t>Đất nông nghiệp trồng cây lâu năm tiếp giáp đường Trương Quyền đoạn từ đường CMT8 (Ngã 3 Lý Dậu) đến đường Trưng Nữ Vương (Ngã 4 Quốc Tế), phạm vi thu hồi sau mét thứ 50, thuộc vị trí 1, xã loại I</t>
  </si>
  <si>
    <t>Đất ở đô thị  tiếp giáp đường Trương Quyền đoạn từ đường CMT8 (Ngã 3 Lý Dậu) đến đường Trưng Nữ Vương (Ngã 4 Quốc Tế), phạm vi thu hồi sau mét thứ 50</t>
  </si>
  <si>
    <t>Đất ở đô thị tiếp giáp đường Trương Quyền đoạn từ đường CMT8 (Ngã 3 Lý Dậu) đến đường Trưng Nữ Vương (Ngã 4 Quốc Tế), phạm vi thu hồi sau mét thứ 50</t>
  </si>
  <si>
    <t xml:space="preserve">Đất giao thông </t>
  </si>
  <si>
    <t>(Hộ dân lấn chiếm xây dựng nhà)</t>
  </si>
  <si>
    <t>Đất ở đô thị  tiếp giáp đường Phạm Văn Chiêu đoạn từ đường Trương Quyền đến đường Võ Văn Truyện (Đường Trần Phú cũ), phạm vi thu hồi 50 mét đầu</t>
  </si>
  <si>
    <t>Đất ở đô thị tiếp giáp đường Phạm Văn Chiêu đoạn từ đường Trương Quyền đến đường Võ Văn Truyện (Đường Trần Phú cũ), phạm vi thu hồi 50 mét đầu</t>
  </si>
  <si>
    <r>
      <t>Hàng rào khung sắt lưới B40, trụ sắt, móng xây gạch</t>
    </r>
    <r>
      <rPr>
        <sz val="12"/>
        <color indexed="10"/>
        <rFont val="Times New Roman"/>
        <family val="1"/>
      </rPr>
      <t xml:space="preserve"> (xây dựng trên hẻm 2m)</t>
    </r>
  </si>
  <si>
    <t>Đất nông nghiệp trồng cây hàng năm tiếp giáp hẻm bê tông rộng từ 3,5m đến 6m
trong phạm vi 150m đầu của đường Trương
Quyền đoạn từ đường CMT8 (Ngã 3 Lý Dậu) đến đường Trưng Nữ Vương (Ngã 4 Quốc Tế), phạm vi thu hồi 50 mét đầu, thuộc vị trí 2, xã loại I</t>
  </si>
  <si>
    <t>Đất nông nghiệp trồng cây hàng năm tiếp giáp hẻm bê tông rộng từ 3,5m đến 6m
trong phạm vi 150m đầu của đường Trương
Quyền đoạn từ đường CMT8 (Ngã 3 Lý Dậu) đến đường Trưng Nữ Vương (Ngã 4 Quốc Tế), phạm vi thu hồi 50 mét đầu</t>
  </si>
  <si>
    <r>
      <t>Đất nông nghiệp trồng cây</t>
    </r>
    <r>
      <rPr>
        <sz val="12"/>
        <color indexed="10"/>
        <rFont val="Times New Roman"/>
        <family val="1"/>
      </rPr>
      <t xml:space="preserve"> hàng năm</t>
    </r>
    <r>
      <rPr>
        <sz val="12"/>
        <rFont val="Times New Roman"/>
        <family val="1"/>
      </rPr>
      <t xml:space="preserve"> tiếp giáp hẻm bê tông rộng từ 3,5m đến 6m
trong phạm vi 150m đầu của đường Trương
Quyền đoạn từ đường CMT8 (Ngã 3 Lý Dậu) đến đường Trưng Nữ Vương (Ngã 4 Quốc Tế), phạm vi thu hồi 50 mét đầu</t>
    </r>
  </si>
  <si>
    <t>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t>
  </si>
  <si>
    <t>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 thuộc vị trí 1, xã loại I</t>
  </si>
  <si>
    <t>Đất ở đô thị tiếp giáp hẻm bê tông rộng từ 3,5m đến 6m trong phạm vi 150m đầu của đường Trương Quyền đoạn từ đường CMT8 (Ngã 3 Lý Dậu) đến đường Trưng Nữ Vương (Ngã 4 Quốc Tế), phạm vi thu hồi 50 mét đầu</t>
  </si>
  <si>
    <t>Đất nông nghiệp trồng cây lâu năm tiếp giáp hẻm bê tông rộng từ 3,5m đến 6m trong phạm vi 150m đầu của đường Phạm Văn Chiêu đoạn từ đườngTrương Quyền đến đường Võ Văn Truyện (Đường Trần Phú cũ), phạm vi thu hồi 50 mét đầu, thuộc vị trí 1, xã loại I</t>
  </si>
  <si>
    <t>Đất ở đô thị  tiếp giáp hẻm bê tông rộng từ 3,5m đến 6m trong phạm vi 150m đầu của đường Phạm Văn Chiêu đoạn từ đườngTrương Quyền đến đường Võ Văn Truyện (Đường Trần Phú cũ), phạm vi thu hồi 50 mét đầu</t>
  </si>
  <si>
    <t>Đất ở đô thị tiếp giáp hẻm bê tông rộng từ 3,5m đến 6m trong phạm vi 150m đầu của đường Phạm Văn Chiêu đoạn từ đườngTrương Quyền đến đường Võ Văn Truyện (Đường Trần Phú cũ), phạm vi 50 mét đầu</t>
  </si>
  <si>
    <t>Đất ở đô thị tiếp giáp hẻm bê tông rộng từ 3,5m đến 6m trong phạm vi 150m đầu của đường Phạm Văn Chiêu đoạn từ đường Trương Quyền đến đường Võ Văn Truyện (Đường Trần Phú cũ), phạm vi 50 mét đầu</t>
  </si>
  <si>
    <t>Đất giao thông</t>
  </si>
  <si>
    <t>Đất ở đô thị không tiếp giáp đường</t>
  </si>
  <si>
    <t>Đất ở đô thị tiếp giáp đường Võ Văn Truyện đoạn từ đường CMT8 (Ngã 4 Công an TP cũ) đến đường Trưng Nữ Vương, phạm vi 50 mét đầu</t>
  </si>
  <si>
    <t>Đất nông nghiệp trồng cây lâu năm tiếp giáp đường Võ Văn Truyện đoạn từ đường CMT8 (Ngã 4 Công an TP cũ) đến đường Trưng Nữ Vương, phạm vi 50 mét đầu</t>
  </si>
  <si>
    <t>Đất nông nghiệp trồng cây lâu năm tiếp giáp đường Trương Quyền đoạn từ đường CMT8 (Ngã 3 Lý Dậu) đến đường Trưng Nữ Vương (Ngã 4 Quốc Tế), phạm vi thu hồi sau mét thứ 50, thuộc vị trí 2, xã loại I</t>
  </si>
  <si>
    <t>Đất nông nghiệp trồng cây lâu năm  tiếp giáp hẻm bê tông rộng &lt;3,5m, độ sâu hẻm trong phạm vi 150m đầu của đường Ngô Gia Tự đoạn từ đường Trương Quyền đến đường Yết Kiêu (hẻm số 2), phạm vi thu hồi 50m đầu</t>
  </si>
  <si>
    <t>Đất trồng lúa tiếp giáp đường Võ Văn Truyện đoạn từ đường CMT8 (Ngã 4 Công an TP cũ) đến đường Trưng Nữ Vương, phạm vi 50 mét đầu</t>
  </si>
  <si>
    <t>Ống nhựa PVC đường kính 21</t>
  </si>
  <si>
    <t>Chậu kiểng đường kính 40cm</t>
  </si>
  <si>
    <t>Chậu kiểng đường kính 60cm</t>
  </si>
  <si>
    <t>Chậu kiểng đường kính 30cm</t>
  </si>
  <si>
    <t>Chậu kiểng đường kính 20cm</t>
  </si>
  <si>
    <t>Chậu kiểng đường kính 10cm</t>
  </si>
  <si>
    <t>Chậu kiểng đường kính 100cm</t>
  </si>
  <si>
    <t>Chậu kiểng đường kính 50cm</t>
  </si>
  <si>
    <t>Ống nhựa PVC đường kính 27</t>
  </si>
  <si>
    <t>Ống nước cấp thủy đường kính 27</t>
  </si>
  <si>
    <t>Ống nhựa PVC đường kính 27mm</t>
  </si>
  <si>
    <t>Ống nhựa PVC đường kính 60mm</t>
  </si>
  <si>
    <t>Ống nhựa PVC đường kính 114</t>
  </si>
  <si>
    <t>Chậu kiểng đường kính 80cm</t>
  </si>
  <si>
    <t>Hệ thống ống nước cấp thủy đường kính 21mm</t>
  </si>
  <si>
    <t>Chậu kiểng đường kính 140cm</t>
  </si>
  <si>
    <t>Ống nhựa PVC đường kính 42mm</t>
  </si>
  <si>
    <t>Ống nhựa PVC đường kính 114mm</t>
  </si>
  <si>
    <t>Giếng thấm đặt 03 ống cống đường kính 100 cao 1m</t>
  </si>
  <si>
    <t>Chậu kiểng đường kính 120cm</t>
  </si>
  <si>
    <t>Ống nước cấp thủy đường kính 21cm</t>
  </si>
  <si>
    <t>Chậu kiểng đường kính &lt;50cm</t>
  </si>
  <si>
    <t>Chậu kiểng đường kính &gt;50cm</t>
  </si>
  <si>
    <t>Ống nhựa cấp thủy đường kính 21cm</t>
  </si>
  <si>
    <t>Ống cống đường kính 80cm dài 1m</t>
  </si>
  <si>
    <t>Cây xanh đường kính 70cm</t>
  </si>
  <si>
    <t>Cây xanh đường kính 120cm</t>
  </si>
  <si>
    <t>Ống cống bê tông cốt thép đường kính 80cm dài 1m</t>
  </si>
  <si>
    <t>Cây xanh đường kính 50cm</t>
  </si>
  <si>
    <t>Cây xanh đường kính 20cm</t>
  </si>
  <si>
    <t>Ống nhựa đường kính 114mm</t>
  </si>
  <si>
    <t>Ống nhựa đường kính 90mm</t>
  </si>
  <si>
    <t>Hầm tự hoại đặt 03 ống cống đường kính 100cm cao 1m</t>
  </si>
  <si>
    <t>Ống nhựa PVC đường kính 220mm</t>
  </si>
  <si>
    <t>Ống nhựa cấp thủy đường kính 21mm</t>
  </si>
  <si>
    <t>Cây kiểng đường kính 10cm</t>
  </si>
  <si>
    <t>Hầm tự hoại đặt 04 ống cống đường kính 100cm cao 0,5m</t>
  </si>
  <si>
    <t>Cây đa đường kính 40cm</t>
  </si>
  <si>
    <t>Cây xanh đường kính 10cm</t>
  </si>
  <si>
    <t>Cây xanh đường kính 15cm</t>
  </si>
  <si>
    <t>Cây kiểng đường kính &lt;10cm</t>
  </si>
  <si>
    <t>Hoa tường vy đường kính &lt;5cm</t>
  </si>
  <si>
    <t>Cây xanh đường kính 30cm</t>
  </si>
  <si>
    <t>Cây bàng đường kính 15cm</t>
  </si>
  <si>
    <t>Ống cống nước đường kính 100mm cao 1m</t>
  </si>
  <si>
    <t>Cây xanh đường kính 2cm</t>
  </si>
  <si>
    <t>Ống nhựa PVC đường kính 90mm</t>
  </si>
  <si>
    <t>Ống nhựa PVC đường kính 21mm</t>
  </si>
  <si>
    <t>Cây nhào đường kính &lt;5cm</t>
  </si>
  <si>
    <t>Ống nước cấp thủy đường kính 21mm</t>
  </si>
  <si>
    <t>Ống nhựa PVC đường kính 34mm</t>
  </si>
  <si>
    <t>Cây lá lụa đường kính 30cm</t>
  </si>
  <si>
    <t>Giếng thấm đặt 03 ống cống đường kính 100cm, cao 0,5m</t>
  </si>
  <si>
    <t>Ống nhựa bình minh đường kính 114mm</t>
  </si>
  <si>
    <t>Hầm tự hoại đặt 02 ống cống đường kính 100cm, cao 1m</t>
  </si>
  <si>
    <t>Ống cống nước đường kính 100cm, cao 1m</t>
  </si>
  <si>
    <t>Ống nhựa bình minh đường kính 27mm</t>
  </si>
  <si>
    <t>Ống nhựa bình minh đường kính 90mm</t>
  </si>
  <si>
    <t>Ống nhựa bình minh đường kính 27mm (ống nhựa nối cấp thủy đặt ngoài phạm vi nhà)</t>
  </si>
  <si>
    <t>Ống nhựa bình minh đường kính 34mm</t>
  </si>
  <si>
    <t>Ống nhựa bình minh đường kính 21mm</t>
  </si>
  <si>
    <t>Ống nhựa Bình Minh đường kính 34mm</t>
  </si>
  <si>
    <t>Đất nông nghiệp trồng cây lâu năm tiếp giáp hẻm bê tông rộng &lt;3,5m, độ sâu hẻm  trong phạm vi 150m đầu của đường Trương Quyền đoạn từ đường CMT8 (Ngã 3 Lý Dậu) đến đường Trưng Nữ Vương (Ngã 4 Quốc Tế), phạm vi thu hồi 50m đầu</t>
  </si>
  <si>
    <t>Đ/c: Số 14 hẻm 2, đường Ngô Gia Tự, Khu phố 1, Phường 2, thành phố Tây Ninh, tỉnh Tây Ninh</t>
  </si>
  <si>
    <t>Đ/c: số 14 hẻm 2, đường Trương Quyền, Khu phố 1, Phường 2, thành phố Tây Ninh, tỉnh Tây Ninh</t>
  </si>
  <si>
    <t>Đ/c: số 865 đường CMT8, Khu phố Hiệp Bình, Phường Hiệp Ninh, thành phố Tây Ninh, tỉnh Tây Ninh</t>
  </si>
  <si>
    <t>Đ/c: Khu phố 1, Phường 2, thành phố Tây Ninh, tỉnh Tây Ninh</t>
  </si>
  <si>
    <t>Đ/c: 67 đường Trương Quyền, Khu phố 1, Phường 2, thành phố Tây Ninh, tỉnh Tây Ninh</t>
  </si>
  <si>
    <t>Đất ở đô thị  tiếp giáp hẻm bê tông rộng từ 3,5m đến 6m trong phạm vi 150m đầu của đường Trương Quyền đoạn từ đường CMT8 (Ngã 3 Lý Dậu) đến đường Trưng Nữ Vương (Ngã 4 Quốc Tế), phạm vi thu hồi 50 mét đầu</t>
  </si>
  <si>
    <t>Đất nông nghiệp trồng cây hàng năm tiếp giáp hẻm bê tông &lt; 3,5m trong phạm vi 150m đầu của đường Phạm Văn Chiêu đoạn từ đường Trương Quyền đến đường Võ Văn Truyện (Đường Trần Phú cũ), phạm vi 50 mét đầu</t>
  </si>
  <si>
    <t>Đất ở đô thị tiếp giáp hẻm bê tông &lt;3,5m trong phạm vi 150m đầu của đường Phạm Văn Chiêu đoạn từ đường Trương Quyền đến đường Võ Văn Truyện (Đường Trần Phú cũ), phạm vi 50 mét đầu</t>
  </si>
  <si>
    <t>Đất ở đô thị tiếp giáp hẻm bê tông &lt;3,5m  trong phạm vi 150m đầu của đường Phạm Văn Chiêu đoạn từ đường Trương Quyền đến đường Võ Văn Truyện (Đường Trần Phú cũ), phạm vi 50 mét đầu</t>
  </si>
  <si>
    <t>Áp giá tạm thời</t>
  </si>
  <si>
    <t>Đất tôn giáo tiếp giáp đường Ngô Gia Tự đoạn từ đường Trương Quyền đến đường Yết Kiêu, phạm vi sau mét thứ 50</t>
  </si>
  <si>
    <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1"/>
        <rFont val="Times New Roman"/>
        <family val="1"/>
      </rPr>
      <t>2</t>
    </r>
    <r>
      <rPr>
        <sz val="11"/>
        <rFont val="Times New Roman"/>
        <family val="1"/>
      </rPr>
      <t xml:space="preserve">
3.230.000 x 40% = 1.292.000 đồng/m</t>
    </r>
    <r>
      <rPr>
        <vertAlign val="superscript"/>
        <sz val="11"/>
        <rFont val="Times New Roman"/>
        <family val="1"/>
      </rPr>
      <t>2</t>
    </r>
  </si>
  <si>
    <r>
      <t>Hỗ trợ 40% đơn giá 125.000 đồng/m</t>
    </r>
    <r>
      <rPr>
        <vertAlign val="superscript"/>
        <sz val="11"/>
        <rFont val="Times New Roman"/>
        <family val="1"/>
      </rPr>
      <t>2</t>
    </r>
  </si>
  <si>
    <r>
      <t>Hỗ trợ 40% đơn giá 498.000 đồng/m</t>
    </r>
    <r>
      <rPr>
        <vertAlign val="superscript"/>
        <sz val="11"/>
        <rFont val="Times New Roman"/>
        <family val="1"/>
      </rPr>
      <t>2</t>
    </r>
  </si>
  <si>
    <t>Theo giá VLXD tháng 01/2023</t>
  </si>
  <si>
    <r>
      <t>Xây nhà trên đất hẻm 3m
Diện tích bị ảnh hưởng: ((1,74+1,63)/2) x 3,55 = 5,98 m</t>
    </r>
    <r>
      <rPr>
        <vertAlign val="superscript"/>
        <sz val="11"/>
        <rFont val="Times New Roman"/>
        <family val="1"/>
      </rPr>
      <t>2</t>
    </r>
    <r>
      <rPr>
        <sz val="11"/>
        <rFont val="Times New Roman"/>
        <family val="1"/>
      </rPr>
      <t xml:space="preserve">
Diện tích bồi thường đến nhịp cột: 3,55m x 2,4m = 8,52 m</t>
    </r>
    <r>
      <rPr>
        <vertAlign val="superscript"/>
        <sz val="11"/>
        <rFont val="Times New Roman"/>
        <family val="1"/>
      </rPr>
      <t xml:space="preserve">2
</t>
    </r>
    <r>
      <rPr>
        <sz val="11"/>
        <rFont val="Times New Roman"/>
        <family val="1"/>
      </rPr>
      <t>-</t>
    </r>
    <r>
      <rPr>
        <vertAlign val="superscript"/>
        <sz val="11"/>
        <rFont val="Times New Roman"/>
        <family val="1"/>
      </rPr>
      <t xml:space="preserve"> </t>
    </r>
    <r>
      <rPr>
        <sz val="11"/>
        <rFont val="Times New Roman"/>
        <family val="1"/>
      </rPr>
      <t>Căn cứ quy định tại Điểm b Khoản 1 Điều 23 Quyết định số 17/2015/QĐ-UBND ngày 02/4/2015 của UBND tỉnh Tây Ninh: Hỗ trợ 40% đơn giá 
- Đơn giá theo Quyết định số 58/2019/QĐ-UBND ngày 26/12/2019 của UBND tỉnh Tây Ninh: 4.820.000 đồng/m</t>
    </r>
    <r>
      <rPr>
        <vertAlign val="superscript"/>
        <sz val="11"/>
        <rFont val="Times New Roman"/>
        <family val="1"/>
      </rPr>
      <t xml:space="preserve">2
</t>
    </r>
    <r>
      <rPr>
        <sz val="11"/>
        <rFont val="Times New Roman"/>
        <family val="1"/>
      </rPr>
      <t>4.820.000 x 40% = 1.928.000 đồng/m</t>
    </r>
    <r>
      <rPr>
        <vertAlign val="superscript"/>
        <sz val="11"/>
        <rFont val="Times New Roman"/>
        <family val="1"/>
      </rPr>
      <t>2</t>
    </r>
  </si>
  <si>
    <t>Đất nông nghiệp trồng cây hàng năm tiếp giáp hẻm bê tông &lt;3,5m trong phạm vi 150m đầu của đường Phạm Văn Chiêu đoạn từ đường Trương Quyền đến đường Võ Văn Truyện (Đường Trần Phú cũ), phạm vi 50 mét đầu</t>
  </si>
  <si>
    <r>
      <t>Hỗ trợ 40% đơn giá 110.000 đồng/m</t>
    </r>
    <r>
      <rPr>
        <vertAlign val="superscript"/>
        <sz val="11"/>
        <rFont val="Times New Roman"/>
        <family val="1"/>
      </rPr>
      <t>2</t>
    </r>
  </si>
  <si>
    <r>
      <t>Nền gạch bông</t>
    </r>
    <r>
      <rPr>
        <sz val="12"/>
        <color indexed="10"/>
        <rFont val="Times New Roman"/>
        <family val="1"/>
      </rPr>
      <t xml:space="preserve"> (xây dựng trên phần diện tích quy hoạch lộ giới hẻm 2m)</t>
    </r>
  </si>
  <si>
    <r>
      <t>Hỗ trợ 40% đơn giá 325.000 đồng/m</t>
    </r>
    <r>
      <rPr>
        <vertAlign val="superscript"/>
        <sz val="11"/>
        <rFont val="Times New Roman"/>
        <family val="1"/>
      </rPr>
      <t>2</t>
    </r>
  </si>
  <si>
    <r>
      <t>Hỗ trợ 40% đơn giá 240.000 đồng/m</t>
    </r>
    <r>
      <rPr>
        <vertAlign val="superscript"/>
        <sz val="11"/>
        <rFont val="Times New Roman"/>
        <family val="1"/>
      </rPr>
      <t>2</t>
    </r>
  </si>
  <si>
    <r>
      <t>Hỗ trợ 40% đơn giá 736.000 đồng/m</t>
    </r>
    <r>
      <rPr>
        <vertAlign val="superscript"/>
        <sz val="11"/>
        <rFont val="Times New Roman"/>
        <family val="1"/>
      </rPr>
      <t>2</t>
    </r>
  </si>
  <si>
    <r>
      <t xml:space="preserve">Nền xi măng </t>
    </r>
    <r>
      <rPr>
        <sz val="12"/>
        <color indexed="10"/>
        <rFont val="Times New Roman"/>
        <family val="1"/>
      </rPr>
      <t>(ngoài giấy CNQSDĐ)</t>
    </r>
  </si>
  <si>
    <r>
      <t>Hỗ trợ 40% đơn giá 150.000 đồng/m</t>
    </r>
    <r>
      <rPr>
        <vertAlign val="superscript"/>
        <sz val="11"/>
        <rFont val="Times New Roman"/>
        <family val="1"/>
      </rPr>
      <t>2</t>
    </r>
  </si>
  <si>
    <r>
      <t>Nền xi măng</t>
    </r>
    <r>
      <rPr>
        <sz val="12"/>
        <color indexed="10"/>
        <rFont val="Times New Roman"/>
        <family val="1"/>
      </rPr>
      <t xml:space="preserve"> (ngoài giấy CNQSDĐ)</t>
    </r>
  </si>
  <si>
    <r>
      <t>Hỗ trợ 40% đơn giá 498.000 đồng/m</t>
    </r>
    <r>
      <rPr>
        <vertAlign val="superscript"/>
        <sz val="11"/>
        <color indexed="10"/>
        <rFont val="Times New Roman"/>
        <family val="1"/>
      </rPr>
      <t>2</t>
    </r>
  </si>
  <si>
    <r>
      <t xml:space="preserve">Nhà cấp 4: móng gạch, cột gạch (BTCT), mái tôn, trần nhựa, tường xây gạch có tô quét vôi ốp gạch men cao 1,6m, nền gạch men, cửa sắt cuốn, có nhà vệ sinh trong nhà
</t>
    </r>
    <r>
      <rPr>
        <sz val="12"/>
        <color indexed="10"/>
        <rFont val="Times New Roman"/>
        <family val="1"/>
      </rPr>
      <t>(Xây dựng trên đất nhà nước quản lý)</t>
    </r>
  </si>
  <si>
    <t>Vợ Trọng TAXI</t>
  </si>
  <si>
    <t>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 thuộc vị trí 1, xã loại I</t>
  </si>
  <si>
    <r>
      <t xml:space="preserve">Đất nông nghiệp trồng cây </t>
    </r>
    <r>
      <rPr>
        <sz val="12"/>
        <color indexed="10"/>
        <rFont val="Times New Roman"/>
        <family val="1"/>
      </rPr>
      <t xml:space="preserve">hàng năm </t>
    </r>
    <r>
      <rPr>
        <sz val="12"/>
        <rFont val="Times New Roman"/>
        <family val="1"/>
      </rPr>
      <t>tiếp giáp hẻm bê tông rộng từ 3,5m đến 6m
trong phạm vi 150m đầu của đường Trương
Quyền đoạn từ đường CMT8 (Ngã 3 Lý Dậu) đến đường Trưng Nữ Vương (Ngã 4 Quốc Tế), phạm vi thu hồi 50 mét đầu</t>
    </r>
  </si>
  <si>
    <t>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t>
  </si>
  <si>
    <r>
      <t xml:space="preserve">Đất nông nghiệp trồng cây </t>
    </r>
    <r>
      <rPr>
        <sz val="12"/>
        <color indexed="10"/>
        <rFont val="Times New Roman"/>
        <family val="1"/>
      </rPr>
      <t>hàng năm</t>
    </r>
    <r>
      <rPr>
        <sz val="12"/>
        <rFont val="Times New Roman"/>
        <family val="1"/>
      </rPr>
      <t xml:space="preserve"> tiếp giáp hẻm bê tông rộng từ 3,5m đến 6m
trong phạm vi 150m đầu của đường Trương
Quyền đoạn từ đường CMT8 (Ngã 3 Lý Dậu) đến đường Trưng Nữ Vương (Ngã 4 Quốc Tế), phạm vi thu hồi đất sau mét thứ 50</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</si>
  <si>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trong phạm vi 150m đầu của đường Trương Quyền đoạn từ đường CMT8 (Ngã 3 Lý Dậu) đến đường Trưng Nữ Vương (Ngã 4 Quốc Tế), độ sâu hẻm từ sau thửa đất đầu tiên đến mét thứ 150, phạm vi thu hồi 50m đầu</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</si>
  <si>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độ sâu hẻm trong phạm vi 150m đầu của đường Trương Quyền đoạn từ đường CMT8 (Ngã 3 Lý Dậu) đến đường Trưng Nữ Vương (Ngã 4 Quốc Tế), độ sâu hẻm từ sau thửa đất đầu tiên đến mét thứ 150, phạm vi thu hồi 50m đầu</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</si>
  <si>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độ sâu hẻm trong phạm vi 150m đầu của đường Trương Quyền đoạn từ đường CMT8 (Ngã 3 Lý Dậu) đến đường Trưng Nữ Vương (Ngã 4 Quốc Tế), phạm vi thu hồi 50m đầu</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</si>
  <si>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độ sâu hẻm trong phạm vi 150m đầu của đường Trương Quyền đoạn từ đường CMT8 (Ngã 3 Lý Dậu) đến đường Trưng Nữ Vương (Ngã 4 Quốc Tế), phạm vi thu hồi 50m đầu</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</si>
  <si>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độ sâu hẻm trong phạm vi 150m đầu của đường Trương Quyền đoạn từ đường CMT8 (Ngã 3 Lý Dậu) đến đường Trưng Nữ Vương (Ngã 4 Quốc Tế), phạm vi thu hồi 50 mét đầu, thuộc vị trí 1, xã loại I</t>
    </r>
  </si>
  <si>
    <r>
      <t xml:space="preserve">Đất nông nghiệp trồng cây </t>
    </r>
    <r>
      <rPr>
        <sz val="12"/>
        <color indexed="10"/>
        <rFont val="Times New Roman"/>
        <family val="1"/>
      </rPr>
      <t>hàng năm</t>
    </r>
    <r>
      <rPr>
        <sz val="12"/>
        <rFont val="Times New Roman"/>
        <family val="1"/>
      </rPr>
      <t xml:space="preserve"> không tiếp giáp đường, thuộc vị trí 2, xã loại I</t>
    </r>
  </si>
  <si>
    <r>
      <t>m</t>
    </r>
    <r>
      <rPr>
        <vertAlign val="superscript"/>
        <sz val="12"/>
        <rFont val="Times New Roman"/>
        <family val="1"/>
      </rPr>
      <t>3</t>
    </r>
  </si>
  <si>
    <t>Cây sung trên 10 năm</t>
  </si>
  <si>
    <t>Cây ổi 3 năm</t>
  </si>
  <si>
    <t>Cây kiểng thân gỗ đường kính 10cm</t>
  </si>
  <si>
    <t xml:space="preserve">Lá lốt </t>
  </si>
  <si>
    <t xml:space="preserve">Cây xoài 5 năm </t>
  </si>
  <si>
    <r>
      <t xml:space="preserve">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 thuộc vị trí </t>
    </r>
    <r>
      <rPr>
        <sz val="12"/>
        <color indexed="10"/>
        <rFont val="Times New Roman"/>
        <family val="1"/>
      </rPr>
      <t>1</t>
    </r>
    <r>
      <rPr>
        <sz val="12"/>
        <rFont val="Times New Roman"/>
        <family val="1"/>
      </rPr>
      <t>, xã loại I</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</si>
  <si>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độ sâu hẻm trong phạm vi 150m đầu của đường Trương Quyền đoạn từ đường CMT8 (Ngã 3 Lý Dậu) đến đường Trưng Nữ Vương (Ngã 4 Quốc Tế), phạm vi thu hồi 50 mét đầu, thuộc vị trí </t>
    </r>
    <r>
      <rPr>
        <sz val="12"/>
        <color indexed="10"/>
        <rFont val="Times New Roman"/>
        <family val="1"/>
      </rPr>
      <t>1</t>
    </r>
    <r>
      <rPr>
        <sz val="12"/>
        <rFont val="Times New Roman"/>
        <family val="1"/>
      </rPr>
      <t>, xã loại I</t>
    </r>
  </si>
  <si>
    <r>
      <t xml:space="preserve">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 thuộc vị trí </t>
    </r>
    <r>
      <rPr>
        <sz val="12"/>
        <color indexed="10"/>
        <rFont val="Times New Roman"/>
        <family val="1"/>
      </rPr>
      <t>1</t>
    </r>
    <r>
      <rPr>
        <sz val="12"/>
        <rFont val="Times New Roman"/>
        <family val="1"/>
      </rPr>
      <t>, xã loại I</t>
    </r>
  </si>
  <si>
    <t>Đất nông nghiệp trồng cây lâu năm tiếp giáp hẻm bê tông rộng &lt;3,5m, độ sâu hẻm trong phạm vi 150m đầu của đường Trương Quyền đoạn từ đường CMT8 (Ngã 3 Lý Dậu) đến đường Trưng Nữ Vương (Ngã 4 Quốc Tế), phạm vi thu hồi 50m đầu, thuộc vị trí 1, xã loại I</t>
  </si>
  <si>
    <t>Đất nông nghiệp trồng cây hàng năm tiếp giáp hẻm bê tông rộng &lt;3,5m, độ sâu hẻm trong phạm vi 150m đầu của đường Trương Quyền đoạn từ đường CMT8 (Ngã 3 Lý Dậu) đến đường Trưng Nữ Vương (Ngã 4 Quốc Tế), phạm vi thu hồi 50m đầu, thuộc vị trí 2, xã loại I</t>
  </si>
  <si>
    <t>Đất nông nghiệp trồng cây lâu năm tiếp giáp hẻm bê tông rộng &lt;3,5m, độ sâu hẻm  trong phạm vi 150m đầu của đường Trương Quyền đoạn từ đường CMT8 (Ngã 3 Lý Dậu) đến đường Trưng Nữ Vương (Ngã 4 Quốc Tế), phạm vi thu hồi 50m đầu, thuộc vị trí 2, xã loại I</t>
  </si>
  <si>
    <t>Đất nông nghiệp trồng cây lâu năm tiếp giáp hẻm bê tông rộng &lt;3,5m, độ sâu hẻm trong phạm vi 150m đầu của đường Trương Quyền đoạn từ đường CMT8 (Ngã 3 Lý Dậu) đến đường Trưng Nữ Vương (Ngã 4 Quốc Tế), phạm vi thu hồi 50m đầu, thuộc vị trí 2, xã loại I</t>
  </si>
  <si>
    <t>Đất nông nghiệp trồng cây hàng năm tiếp giáp hẻm bê tông rộng &lt;3,5m, độ sâu hẻm trong phạm vi 150m đầu của đường Trương Quyền đoạn từ đường CMT8 (Ngã 3 Lý Dậu) đến đường Trưng Nữ Vương (Ngã 4 Quốc Tế), phạm vi thu hồi 50m đầu, thuộc vị trí 1, xã loại I</t>
  </si>
  <si>
    <t>Đất nông nghiệp trồng cây lâu năm tiếp giáp hẻm bê tông rộng &lt;3,5m trong phạm vi 150m đầu của đường Trương Quyền đoạn từ đường CMT8 (Ngã 3 Lý Dậu) đến đường Trưng Nữ Vương (Ngã 4 Quốc Tế), phạm vi thu hồi 50m đầu, thuộc vị trí 1, xã loại I</t>
  </si>
  <si>
    <t>Đất nông nghiệp trồng cây lâu năm tiếp giáp hẻm bê tông rộng &lt;3,5m, độ sâu hẻm trong phạm vi 150m đầu của đường Ngô Gia Tự đoạn từ đường Trương Quyền đến đường Yết Kiêu (hẻm số 2), phạm vi thu hồi 50m đầu, thuộc vị trí 2, xã loại I</t>
  </si>
  <si>
    <t>Đất nông nghiệp trồng cây hàng năm tiếp giáp hẻm đường đất rộng &lt;3,5m, độ sâu hẻm trong phạm vi 150m đầu của đường Trương Quyền đoạn từ đường CMT8 (Ngã 3 Lý Dậu) đến đường Trưng Nữ Vương (Ngã 4 Quốc Tế), phạm vi thu hồi 50m đầu, thuộc vị trí 1, xã loại I</t>
  </si>
  <si>
    <t>Đất nông nghiệp trồng cây hàng năm tiếp giáp hẻm đường đất rộng &lt;3,5m, độ sâu hẻm trong phạm vi 150m đầu của đường Trương Quyền đoạn từ đường CMT8 (Ngã 3 Lý Dậu) đến đường Trưng Nữ Vương (Ngã 4 Quốc Tế), phạm vi thu hồi 50 mét đầu, thuộc vị trí 1, xã loại I</t>
  </si>
  <si>
    <t>Đất nông nghiệp trồng cây lâu năm tiếp giáp hẻm bê tông rộng &lt;3,5m, độ sâu hẻm trong phạm vi 150m đầu của đường Ngô Gia Tự đoạn từ đường Trương Quyền đến đường Yết Kiêu (hẻm số 2), phạm vi thu hồi 50m đầu, thuộc vị trí 1, xã loại I</t>
  </si>
  <si>
    <t>Đất nông nghiệp trồng cây lâu năm  tiếp giáp hẻm bê tông rộng &lt;3,5m, độ sâu hẻm trong phạm vi 150m đầu của đường Ngô Gia Tự đoạn từ đường Trương Quyền đến đường Yết Kiêu (hẻm số 2), phạm vi thu hồi 50m đầu, thuộc vị trí 1, xã loại I</t>
  </si>
  <si>
    <t>Đất nông nghiệp trồng cây hàng năm tiếp giáp hẻm đường đất rộng &lt;3,5m, độ sâu hẻm trong phạm vi 150m đầu của đường Trương Quyền đoạn từ đường CMT8 (Ngã 3 Lý Dậu) đến đường Trưng Nữ Vương (Ngã 4 Quốc Tế), phạm vi thu hồi 50 mét đầu, thuộc vị trí 2, xã loại I</t>
  </si>
  <si>
    <t>Đất nông nghiệp trồng cây hàng năm  tiếp giáp hẻm đường đất rộng &lt;3,5m trong phạm vi 150m đầu của đường Trương Quyền đoạn từ đường CMT8 (Ngã 3 Lý Dậu) đến đường Trưng Nữ Vương (Ngã 4 Quốc Tế), độ sâu hẻm từ sau thửa đất đầu tiên đến mét thứ 150, phạm vi thu hồi 50m đầu, thuộc vị trí 1, xã loại I</t>
  </si>
  <si>
    <t>Đất nông nghiệp trồng cây hàng năm tiếp giáp hẻm đường đất rộng &lt;3,5m, độ sâu hẻm trong phạm vi 150m đầu của đường Trương Quyền đoạn từ đường CMT8 (Ngã 3 Lý Dậu) đến đường Trưng Nữ Vương (Ngã 4 Quốc Tế), độ sâu hẻm từ sau thửa đất đầu tiên đến mét thứ 150, phạm vi thu hồi 50m đầu, thuộc vị trí 1, xã loại I</t>
  </si>
  <si>
    <t>Đất nông nghiệp trồng cây hàng năm tiếp giáp hẻm bê tông rộng &lt;3,5m,  độ sâu hẻm trong phạm vi 150m đầu của đường Ngô Gia Tự đoạn từ đường Trương Quyền đến đường Yết Kiêu (hẻm số 2), phạm vi thu hồi 50m đầu, thuộc vị trí 1, xã loại I</t>
  </si>
  <si>
    <t>Đất nông nghiệp trồng cây hàng năm  tiếp giáp hẻm đường đất rộng &lt;3,5m, độ sâu hẻm trong phạm vi 150m đầu của đường Trương Quyền đoạn từ đường CMT8 (Ngã 3 Lý Dậu) đến đường Trưng Nữ Vương (Ngã 4 Quốc Tế), phạm vi thu hồi 50m đầu, thuộc vị trí 1, xã loại I</t>
  </si>
  <si>
    <t>Đất nông nghiệp trồng cây hàng năm tiếp giáp hẻm đường đất rộng &lt;3,5m, độ sâu hẻm trong phạm vi 150m đầu của đường Trương Quyền đoạn từ đường CMT8 (Ngã 3 Lý Dậu) đến đường Trưng Nữ Vương (Ngã 4 Quốc Tế), phạm vi thu hồi 50m đầu, thuộc vị trí 2, xã loại I</t>
  </si>
  <si>
    <t>Đất nông nghiệp trồng cây hàng năm không tiếp giáp đường, thuộc vị trí 2, xã loại I</t>
  </si>
  <si>
    <t>Đất nông nghiệp trồng cây hàng năm tiếp giáp hẻm bê tông rộng từ 3,5m đến 6m
trong phạm vi 150m đầu của đường Trương
Quyền đoạn từ đường CMT8 (Ngã 3 Lý Dậu) đến đường Trưng Nữ Vương (Ngã 4 Quốc Tế), phạm vi thu hồi đất sau mét thứ 50, thuộc vị trí 2, xã loại I</t>
  </si>
  <si>
    <t>Đất nông nghiệp trồng cây hàng năm tiếp giáp hẻm bê tông rộng từ 3,5m đến 6m
trong phạm vi 150m đầu của đường Trương
Quyền đoạn từ đường CMT8 (Ngã 3 Lý Dậu) đến đường Trưng Nữ Vương (Ngã 4 Quốc Tế), phạm vi thu hồi 50 mét đầu, thuộc vị trí 1, xã loại I</t>
  </si>
  <si>
    <t>Đất nông nghiệp trồng cây lâu năm tiếp giáp đường Phạm Văn Chiêu đoạn từ đường Trương Quyền đến đường Võ Văn Truyện (Đường Trần Phú cũ), phạm vi thu hồi 50 mét đầu, thuộc vị trí 1, xã loại I</t>
  </si>
  <si>
    <t>Đất nông nghiệp trồng cây hàng năm không tiếp giáp đường, thuộc vị trí 1, xã loại I</t>
  </si>
  <si>
    <t>Đất nông nghiệp trồng cây hàng năm tiếp giáp hẻm bê tông &lt; 3,5m trong phạm vi 150m đầu của đường Phạm Văn Chiêu đoạn từ đường Trương Quyền đến đường Võ Văn Truyện (Đường Trần Phú cũ), phạm vi 50 mét đầu, thuộc vị trí 1, xã loại I</t>
  </si>
  <si>
    <t>Đất nông nghiệp trồng cây hàng năm tiếp giáp hẻm bê tông &lt;3,5m trong phạm vi 150m đầu của đường Phạm Văn Chiêu đoạn từ đường Trương Quyền đến đường Võ Văn Truyện (Đường Trần Phú cũ), phạm vi 50 mét đầu, thuộc vị trí 1, xã loại I</t>
  </si>
  <si>
    <t>Huỳnh Thị Trong</t>
  </si>
  <si>
    <t>Thửa đất số 38, tờ bản đồ số 7
(Trích từ thửa đất số 236, tờ BĐĐC số 7)</t>
  </si>
  <si>
    <t>Thửa đất số 43, tờ bản đồ số 1
(Trích từ thửa đất số 234, tờ BĐĐC số 7)</t>
  </si>
  <si>
    <t>Đ/c: Tổ 21, Khu phố 4, Phường 2, thành phố Tây Ninh</t>
  </si>
  <si>
    <t>Đ/c: số 7 hẻm 3, đường Trương Quyền, Khu phố 1, Phường 2, thành phố Tây Ninh</t>
  </si>
  <si>
    <t>Châu Minh Hoàng</t>
  </si>
  <si>
    <t>Hàng rào lưới B40 móng xây gạch có tô (gạch xây 1m, lưới B40 cao 1m6)</t>
  </si>
  <si>
    <t>Đ/c: Tổ 16 ấp Thanh Hòa, xă Thanh Điền, huyện Châu Thành, tỉnh Tây Ninh</t>
  </si>
  <si>
    <t>Đất nông nghiệp tiếp giáp hẻm đường đất rộng &lt;3,5m, độ sâu hẻm trong phạm vi 150m đầu của đường Trương Quyền đoạn từ đường CMT8 (Ngã 3 Lý Dậu) đến đường Trưng Nữ Vương (Ngã 4 Quốc Tế), phạm vi thu hồi 50m đầu, thuộc vị trí 2, xã loại I</t>
  </si>
  <si>
    <t>Đ/c: số 3 hẻm số 3, đường Trương Quyền, Khu phố 1, Phường 2, thành phố Tây Ninh</t>
  </si>
  <si>
    <t>Đất ở đô thị tiếp giáp hẻm bê tông rộng từ 3,5m đến 6m trong phạm vi 150m đầu của đường Trương Quyền đoạn từ đường CMT8 (Ngã 3 Lý Dậu) đến đường Trưng Nữ Vương (Ngã 4 Quốc Tế), phạm vi thu hồi 50 mét đầu, thuộc vị trí 2, xã loại I</t>
  </si>
  <si>
    <t>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 thuộc vị trí 2, xã loại I</t>
  </si>
  <si>
    <t>Cây bàng đường kính 20cm</t>
  </si>
  <si>
    <t>Đ/c: Khu phố 1, Phường 1, thành phố Tây Ninh</t>
  </si>
  <si>
    <t>Đất nông nghiệp trồng cây lâu năm tiếp giáp hẻm bê tông rộng từ 3,5m đến 6m trong phạm vi 150m đầu của đường Trương Quyền đoạn từ đường CMT8 (Ngã 3 Lý Dậu) đến đường Trưng Nữ Vương (Ngã 4 Quốc Tế), phạm vi thu hồi 50 mét đầu, thuộc vị trí 1, xã loại I</t>
  </si>
  <si>
    <t>Thửa đất số 62, tờ bản đồ số 1
(Trích từ thửa đất số 34, tờ BĐĐC số 6, thửa đất cũ số 13, tờ bản đồ cũ số 12)</t>
  </si>
  <si>
    <t>Năm sinh: 1977</t>
  </si>
  <si>
    <t>Trần Văn Trọn
Nguyễn Hải Yến</t>
  </si>
  <si>
    <t>Cây me 20 năm</t>
  </si>
  <si>
    <t>Thửa đất số 119, tờ bản đồ số 1
(Trích từ thửa đất cũ số 13, tờ BĐĐC cũ số 13; thửa đất mới  số 37, tờ BĐĐC mới số 12)</t>
  </si>
  <si>
    <t>Nguyễn Thị Thùy Nhu</t>
  </si>
  <si>
    <t>Thửa đất số 125, tờ bản đồ số 1
(Trích từ thửa đất mới số 40, tờ BĐĐC mới số 12; thửa đất cũ số 02, tờ BĐĐC cũ số 14)</t>
  </si>
  <si>
    <t>Đ/c: Phường 9, Quận 6, Thành phố Hồ Chí Minh</t>
  </si>
  <si>
    <t>Đ/c: Phường 12, quận Bình Thạnh, TP.HCM</t>
  </si>
  <si>
    <t>Đ/c: Khu phố 5, Phường 1, thành phố Tây Ninh, tỉnh Tây Ninh</t>
  </si>
  <si>
    <t>Cây nhào đường kính 30cm (trên 10 năm)</t>
  </si>
  <si>
    <t>Tiêu Thị Kim Châu</t>
  </si>
  <si>
    <t>Lê Thị Hồng Ánh</t>
  </si>
  <si>
    <t>Đ/c: Phường Long Hoa, thị xã Hòa Thành, tỉnh Tây Ninh</t>
  </si>
  <si>
    <t>Xây dựng trên đất bà Nương</t>
  </si>
  <si>
    <t>Thửa đất số 60, tờ bản đồ số 1
(Trích từ thửa đất số 177, tờ BĐĐC số 7)</t>
  </si>
  <si>
    <t>Đất nông nghiệp trồng cây hàng năm tiếp giáp đường Võ Văn Truyện đoạn từ đường CMT8 (Ngã 4 Công an TP cũ) đến đường Trưng Nữ Vương, phạm vi 50 mét đầu, thuộc vị trí 1, xã loại I</t>
  </si>
  <si>
    <t>Đ/c: Khu phố 2, Phường Tân Thới Nhất, Quận 12, Thành phố Hồ Chí Minh</t>
  </si>
  <si>
    <t xml:space="preserve">Đ/c: Khu phố 1, Phường 2, thành phố Tây Ninh </t>
  </si>
  <si>
    <t xml:space="preserve">Các đồng thừa kế của ông Quách Văn Hải </t>
  </si>
  <si>
    <t>Đất ở đô thị tiếp giáp đường Võ Văn Truyện đoạn từ đường CMT8 (Ngã 4 Công an TP cũ) đến đường Trưng Nữ Vương, phạm vi 50 mét đầu, thuộc vị trí 1, xã loại I</t>
  </si>
  <si>
    <t>Đ/c: Khu phố Ninh Trung, phường Ninh Sơn, thành phố Tây Ninh, tỉnh Tây Ninh</t>
  </si>
  <si>
    <t>Cây mận 30 năm</t>
  </si>
  <si>
    <t>Cây ổi 1 năm</t>
  </si>
  <si>
    <t>Cây đu đủ có trái</t>
  </si>
  <si>
    <t>Cây dừa có trái</t>
  </si>
  <si>
    <t>Chuối (bụi &gt;3 cây)</t>
  </si>
  <si>
    <t>Cây mít 1 năm</t>
  </si>
  <si>
    <t>Cây mãng cầu 1 năm</t>
  </si>
  <si>
    <t>Đ/c: Ấp Ninh Thuận, xã Bàu Năng, huyện Bàu Năng, huyện Dương Minh Châu, tỉnh Tây Ninh</t>
  </si>
  <si>
    <t>Năm sinh: 1982</t>
  </si>
  <si>
    <t>Cây mướp</t>
  </si>
  <si>
    <t>Cây sung 10 năm</t>
  </si>
  <si>
    <t>Cây phát tài cao trên 1m</t>
  </si>
  <si>
    <t>Cây đại phú gia đường kính 10cm</t>
  </si>
  <si>
    <t>Cây đại phú gia đường kính &lt;5cm</t>
  </si>
  <si>
    <t xml:space="preserve">Cây chùm ngây 10 năm </t>
  </si>
  <si>
    <t>Cây khế 10 năm</t>
  </si>
  <si>
    <t>Cây lộc vừng đường kính 50cm</t>
  </si>
  <si>
    <t>Cây bàng lá kim đường kính 50cm</t>
  </si>
  <si>
    <t>Cây xoài 10 năm</t>
  </si>
  <si>
    <t>Cây mít 4 năm</t>
  </si>
  <si>
    <t>Cây mít 10 năm</t>
  </si>
  <si>
    <t>Cây mận 5 năm</t>
  </si>
  <si>
    <t>Cây mãng cầu xiêm 5 năm</t>
  </si>
  <si>
    <t>Cây chanh 5 năm</t>
  </si>
  <si>
    <t>Cây cau kiểng đường kính 20cm, cao trên 2m</t>
  </si>
  <si>
    <t>Cây mai đường kính 15cm</t>
  </si>
  <si>
    <t>Cây trúc</t>
  </si>
  <si>
    <t>Chuồng trại chăn nuôi: khung sắt tiền chế, mái tôn, vách lưới B40, nền xi măng</t>
  </si>
  <si>
    <t xml:space="preserve">Cây mít 3-5 năm </t>
  </si>
  <si>
    <t>Cây dừa kiểng đường kính &lt;5, cao trên 1m</t>
  </si>
  <si>
    <t>Cây cóc 4 năm</t>
  </si>
  <si>
    <t>Cây xoài 4 năm</t>
  </si>
  <si>
    <t>Cây tràm vàng đường kính 10cm</t>
  </si>
  <si>
    <t>Cây chanh 4 năm</t>
  </si>
  <si>
    <t>Cây tắc 4 năm</t>
  </si>
  <si>
    <t>Cây tràm vàng đường kính 15cm</t>
  </si>
  <si>
    <t>Cây tre lấy măng (điền trúc)</t>
  </si>
  <si>
    <t>Cây mai vàng đường kính 6cm</t>
  </si>
  <si>
    <t>Cây mai vàng đường kính 4cm, cao trên 1,5m</t>
  </si>
  <si>
    <t>Cây mai vàng đường kính 3cm, cao trên 1,5m</t>
  </si>
  <si>
    <t>Cây mai vàng đường kính 2cm, cao trên 1m</t>
  </si>
  <si>
    <t>Cây mai vàng đường kính 10cm</t>
  </si>
  <si>
    <t>Cây mai vàng đường kính 8cm</t>
  </si>
  <si>
    <t>Cây sầu đâu đường kính 50cm (&gt;20 năm tuổi)</t>
  </si>
  <si>
    <t>Cây dừa chưa trái</t>
  </si>
  <si>
    <t>Cây bưởi 5 năm</t>
  </si>
  <si>
    <t>Cây chanh 3 năm</t>
  </si>
  <si>
    <t>Cây nận 13 năm</t>
  </si>
  <si>
    <t>Cây nhào đường kính &lt;5cm (5 năm)</t>
  </si>
  <si>
    <t>Cây lộc vừng đường kính 20cm</t>
  </si>
  <si>
    <t>Cây chanh 2 năm</t>
  </si>
  <si>
    <t>Cây đu đủ chưa trái</t>
  </si>
  <si>
    <t>Cây sứ đường kính 15cm cao trên 2m</t>
  </si>
  <si>
    <t>Cây nhãn 2 năm</t>
  </si>
  <si>
    <t>Cây mận 2 năm</t>
  </si>
  <si>
    <t>Cây sapoche 2 năm</t>
  </si>
  <si>
    <t>Cây mít 2 năm</t>
  </si>
  <si>
    <t>Cây xoài tứ quý 2 năm</t>
  </si>
  <si>
    <t>Cây chôm chôm 2 năm</t>
  </si>
  <si>
    <t>Cây dâu 2 năm</t>
  </si>
  <si>
    <t>Cây lý 2 năm</t>
  </si>
  <si>
    <t>Cây me đường kính 40cm (20 năm)</t>
  </si>
  <si>
    <t>Cây cóc 6 năm</t>
  </si>
  <si>
    <t>Cây mận 6 năm</t>
  </si>
  <si>
    <t>Cây xoài 8 năm</t>
  </si>
  <si>
    <t>Cây xộp đường kính 70cm</t>
  </si>
  <si>
    <t>Cây me 30 năm</t>
  </si>
  <si>
    <t>Cây tràm vàng đường kính 50cm</t>
  </si>
  <si>
    <t>Cây tràm vàng đường kính 25cm</t>
  </si>
  <si>
    <t>Cây tràm vàng đường kính 40cm</t>
  </si>
  <si>
    <t>Cây bồ đề đường kính 60cm</t>
  </si>
  <si>
    <t>Cây mía</t>
  </si>
  <si>
    <t>Cây mai vàng đường kính 2cm cao 2m</t>
  </si>
  <si>
    <t>Cây sứ đường kính 2cm cao 1m</t>
  </si>
  <si>
    <t>Cây phát tài đường kính 10cm cao 2m</t>
  </si>
  <si>
    <t>Cây dừa cạn đường kính 2cm</t>
  </si>
  <si>
    <t>Cây trứng cá đường kính 3cm</t>
  </si>
  <si>
    <t>Cây lộc vừng đường kính 15cm</t>
  </si>
  <si>
    <t>Cây lộc vừng đường kính 30cm</t>
  </si>
  <si>
    <t>Cây mít 8 năm</t>
  </si>
  <si>
    <t>Cây bông giấy đường kính 10 cao 2m</t>
  </si>
  <si>
    <t>Cây tràm vàng đường kính 20cm</t>
  </si>
  <si>
    <t>Cây trứng cá đường kính 20cm</t>
  </si>
  <si>
    <t>Cây bàng đường kính &lt;5cm</t>
  </si>
  <si>
    <t>Cây trứng cá đường kính &lt;3cm</t>
  </si>
  <si>
    <t>Cây ổi 5 năm</t>
  </si>
  <si>
    <t>Cây mít 5 năm</t>
  </si>
  <si>
    <t>Cây mai vàng đường kính 5cm</t>
  </si>
  <si>
    <t>Cây lộc vừng đường kính 40cm</t>
  </si>
  <si>
    <t>Cây xoài trên 10 năm</t>
  </si>
  <si>
    <t>Cây xoài trên 8 năm</t>
  </si>
  <si>
    <t>Cây mít 6 năm</t>
  </si>
  <si>
    <t>Cây nhãn 5 năm</t>
  </si>
  <si>
    <t>Cây mít 3 năm</t>
  </si>
  <si>
    <t>Cây sưa đường kính 15cm</t>
  </si>
  <si>
    <t>Cây môn</t>
  </si>
  <si>
    <t>Cây trầu bà</t>
  </si>
  <si>
    <t>Cây điều 2 năm</t>
  </si>
  <si>
    <t>Cây sa kê 5 năm</t>
  </si>
  <si>
    <t>Cây sung 3 năm</t>
  </si>
  <si>
    <t>Cây phát tài đường kính 2cm cao 0,5cm</t>
  </si>
  <si>
    <t>Cây xoài 3 năm</t>
  </si>
  <si>
    <t>Cây trứng cá trên 8 năm, đường kính &gt;30cm</t>
  </si>
  <si>
    <t>Cây xoài 15 năm</t>
  </si>
  <si>
    <t>Cây nha đam</t>
  </si>
  <si>
    <t>Cây ổi 8 năm</t>
  </si>
  <si>
    <t>Cây bằng lăng đường kính 30cm</t>
  </si>
  <si>
    <t>Cây tràm vàng đường kính 30cm</t>
  </si>
  <si>
    <t>Cây bưởi 10 năm</t>
  </si>
  <si>
    <t>Cây chanh 10 năm</t>
  </si>
  <si>
    <t>Cây ớt</t>
  </si>
  <si>
    <t>Cây mồng tơi</t>
  </si>
  <si>
    <t>Cây xoài 2 năm</t>
  </si>
  <si>
    <t>Cây vú sữa 2 năm</t>
  </si>
  <si>
    <t>Cây lý 4 năm</t>
  </si>
  <si>
    <t>Cây sa kê 4 năm</t>
  </si>
  <si>
    <t>Cây sung 5 năm</t>
  </si>
  <si>
    <t>Cây sầu đâu đường kính &lt;10cm</t>
  </si>
  <si>
    <t>Cây bình bát trên 8 năm</t>
  </si>
  <si>
    <t>Cây nhãn 3 năm</t>
  </si>
  <si>
    <t>Cây sơ ri 2 năm</t>
  </si>
  <si>
    <t>Cây lộc vừng đường kính &lt;10cm</t>
  </si>
  <si>
    <t xml:space="preserve">Cây chôm chôm 3 năm </t>
  </si>
  <si>
    <t>Cây gấc có trái đường kính 20cm</t>
  </si>
  <si>
    <t>Cây cóc 5 năm</t>
  </si>
  <si>
    <t>Cây lưỡi hổ</t>
  </si>
  <si>
    <t>Cây tràm vàng đường kính 5cm</t>
  </si>
  <si>
    <t>Cây trứng cá 3 năm (đường kính 20cm)</t>
  </si>
  <si>
    <t>Cây mít trên 10 năm</t>
  </si>
  <si>
    <t>Cây mãng cầu trên 10 năm</t>
  </si>
  <si>
    <t>Cây mận trên 10 năm</t>
  </si>
  <si>
    <t>Cây vú sữa trên 10 năm</t>
  </si>
  <si>
    <t>Cây măng cụt 06 năm</t>
  </si>
  <si>
    <t>Cây dâu 10 năm</t>
  </si>
  <si>
    <t>Cây vú sữa 3 năm</t>
  </si>
  <si>
    <t>Cây phát tài đường kính 5cm, cao trên 1m</t>
  </si>
  <si>
    <t xml:space="preserve">Cây mít 2 năm </t>
  </si>
  <si>
    <t>Cây đinh lăng đường kính 2cm, trên 3 năm</t>
  </si>
  <si>
    <t>Cây hoa huệ trên 1 năm</t>
  </si>
  <si>
    <t>Cây nguyệt quế đường kính 20cm</t>
  </si>
  <si>
    <t>Cây nguyệt quế đường kính 10cm</t>
  </si>
  <si>
    <t>Nguyễn Tấn An</t>
  </si>
  <si>
    <t>Lê Thị Hồng Cẩm</t>
  </si>
  <si>
    <t>Nguyễn Thanh Trung</t>
  </si>
  <si>
    <t>Phạm Thị Thu Hiền</t>
  </si>
  <si>
    <r>
      <t xml:space="preserve">Đất nông nghiệp trồng cây </t>
    </r>
    <r>
      <rPr>
        <sz val="12"/>
        <color indexed="10"/>
        <rFont val="Times New Roman"/>
        <family val="1"/>
      </rPr>
      <t>hàng năm</t>
    </r>
    <r>
      <rPr>
        <sz val="12"/>
        <rFont val="Times New Roman"/>
        <family val="1"/>
      </rPr>
      <t xml:space="preserve"> không tiếp giáp đường, thuộc vị trí 2, xã loại I</t>
    </r>
  </si>
  <si>
    <r>
      <t xml:space="preserve">Đất nông nghiệp trồng cây </t>
    </r>
    <r>
      <rPr>
        <sz val="12"/>
        <color indexed="10"/>
        <rFont val="Times New Roman"/>
        <family val="1"/>
      </rPr>
      <t>hàng năm</t>
    </r>
    <r>
      <rPr>
        <sz val="12"/>
        <rFont val="Times New Roman"/>
        <family val="1"/>
      </rPr>
      <t xml:space="preserve"> tiếp giáp hẻm đường đất rộng &lt;3,5m, độ sâu hẻm trong phạm vi 150m đầu của đường Trương Quyền đoạn từ đường CMT8 (Ngã 3 Lý Dậu) đến đường Trưng Nữ Vương (Ngã 4 Quốc Tế), phạm vi thu hồi 50 mét đầu, thuộc vị trí 2, xã loại I</t>
    </r>
  </si>
  <si>
    <t>Đất</t>
  </si>
  <si>
    <t>Vật kiến trúc</t>
  </si>
  <si>
    <t>Hỗ trợ 40% đơn giá 125.000 đồng/m2</t>
  </si>
  <si>
    <t>Hỗ trợ 40% đơn giá 498.000 đồng/m2</t>
  </si>
  <si>
    <t>Đề nghị: mặt tiền đường Võ Văn Truyện chừa ra từ góc vô nhà 2m phần diện tích thu hồi để tiện mua bán
Hỗ trợ 40% đơn giá 150.000 đồng/m2</t>
  </si>
  <si>
    <t>Hỗ trợ 40% đơn giá  150.000 đồng/m2</t>
  </si>
  <si>
    <t>Hỗ trợ di dời.
Hỗ trợ 40% đơn giá  85.000 đồng/m2</t>
  </si>
  <si>
    <t>Đề nghị: mặt tiền đường Võ Văn Truyện chừa ra từ góc vô nhà 2m phần diện tích thu hồi để tiện mua bán. 
Hỗ trợ 40% đơn giá  498.000 đồng/m2</t>
  </si>
  <si>
    <t>Hỗ trợ di dời.
Hỗ trợ 40% đơn giá 85.000 đồng/m2</t>
  </si>
  <si>
    <t>Nhà cấp 3: Móng bê tông cốt thép, sàn bê tông cốt thép, tường xây gạch có tô sơn bê, mặt trong sơn bê + ốp gạch men cao 1,5m, không có lầu, nền gạch men, cửa sắt kính, mái tôn</t>
  </si>
  <si>
    <t>Nhà cấp 4: móng gạch, cột gạch, tường xây gạch, cửa sắt, mái tôn, không trần, nền xi măng</t>
  </si>
  <si>
    <t>Mái che khung sắt tiền chế: mái tôn, không vách, nền xi măng (xây dựng trên đất giao thông)</t>
  </si>
  <si>
    <t>Nhà vệ sinh + nhà bếp: móng gạch, cột gạch, tường xây gạch có tô quét vôi ốp gạch cao 1,5m, nền gạch men, mái tôn, không trần</t>
  </si>
  <si>
    <t>Mái che khung sắt tiền chế: mái ngói, không vách, nền gạch terazzo + xi măng</t>
  </si>
  <si>
    <t>Nguyễn Kim Oanh (con cô Toan)</t>
  </si>
  <si>
    <t>Trần Thanh Tùng (cháu cô Toan)</t>
  </si>
  <si>
    <t>Trần Tố Uyên (cháu cô Toan)</t>
  </si>
  <si>
    <t>Nền xi măng (xây dựng trên đất hẻm)</t>
  </si>
  <si>
    <t>Hàng rào khung lưới B40 trụ sắt không xây chân (xây dựng trên hẻm 2m)</t>
  </si>
  <si>
    <t>Nền gạch tàu (xây dựng trên hẻm 2m)</t>
  </si>
  <si>
    <t>Hàng rào khung sắt lưới B40, trụ sắt, móng xây gạch (xây dựng trên hẻm 2m)</t>
  </si>
  <si>
    <t>Nền gạch bông (xây dựng trên phần diện tích quy hoạch lộ giới hẻm 2m)</t>
  </si>
  <si>
    <r>
      <t>Giảm 8% đơn giá  do tường quét vôi toàn bộ.
Trong đó: 
diện tích nằm trong ranh giới GPMB là = 2,44m x4,0m = 9,76 m</t>
    </r>
    <r>
      <rPr>
        <vertAlign val="superscript"/>
        <sz val="11"/>
        <rFont val="Times New Roman"/>
        <family val="1"/>
      </rPr>
      <t>2</t>
    </r>
  </si>
  <si>
    <t>Mái che khung sắt tiền chế: mái tôn, vách tôn, nền xi măng (xây dựng trên phần lộ giới quy hoạch 2m)</t>
  </si>
  <si>
    <t>Nhà cấp 4: móng gạch + bê tông cốt thép, cột gạch + bê tông cốt thép, tường xây gạch có tô sơn bê + ốp gạch men cao 1,8m, mái tôn, cửa sắt kéo, nền gạch men, có nhà vệ sinh trong nhà</t>
  </si>
  <si>
    <t>Mái che khung gỗ tiền chế: mái tôn, có vách, nền xi măng (ngoài giấy CNQSDĐ)</t>
  </si>
  <si>
    <t>Nền xi măng (ngoài giấy CNQSDĐ)</t>
  </si>
  <si>
    <t>Mái che khung sắt: mái tôn, không vách, nền xi măng (xây dựng ngoài giấy CNQSDĐ)</t>
  </si>
  <si>
    <t>Nền xi măng (xây trên đất chợ)</t>
  </si>
  <si>
    <t>Mái che khung sắt tiền chế: mái tôn, không vách, nền xi măng (xây dựng trên đất chợ)</t>
  </si>
  <si>
    <t>Thửa đất số 70, tờ bản đồ số 1
(Trích từ thửa đất số 98, tờ BĐĐC số 7)</t>
  </si>
  <si>
    <t>Nhà cấp 4: móng gạch, cột gạch (BTCT), mái tôn, trần nhựa, tường xây gạch có tô quét vôi ốp gạch men cao 1,6m, nền gạch men, cửa sắt cuốn, có nhà vệ sinh trong nhà
(Xây dựng trên đất nhà nước quản lý)</t>
  </si>
  <si>
    <t>Nhà tạm (không bị ảnh hưởng): móng gạch, cột gạch, mái tôn, không trần, nền xi măng, tường xây gạch có tô quét vôi</t>
  </si>
  <si>
    <r>
      <t>Trong đó: 
Diện tích trong giấy CNQSDĐ = 4,0 x 10,3 = 41,2 m</t>
    </r>
    <r>
      <rPr>
        <vertAlign val="superscript"/>
        <sz val="11"/>
        <rFont val="Times New Roman"/>
        <family val="1"/>
      </rPr>
      <t>2</t>
    </r>
    <r>
      <rPr>
        <sz val="11"/>
        <rFont val="Times New Roman"/>
        <family val="1"/>
      </rPr>
      <t xml:space="preserve">
Diện tích xây dựng trên đất công = 2,85 x 10,3 = 29,36 m</t>
    </r>
    <r>
      <rPr>
        <vertAlign val="superscript"/>
        <sz val="11"/>
        <rFont val="Times New Roman"/>
        <family val="1"/>
      </rPr>
      <t>2</t>
    </r>
  </si>
  <si>
    <t>Hỗ trợ 40% đơn giá 498.000 đồng</t>
  </si>
  <si>
    <t>Nhà tạm: cột gỗ, mái tôn, trần tôn lạnh, vách cây + bồ (nhờ 1 vách), nền gạch tàu, cửa gỗ</t>
  </si>
  <si>
    <t>Trần Thị Nguyên Phương</t>
  </si>
  <si>
    <t>CCCD: 072190004328</t>
  </si>
  <si>
    <t>Văng Đình Tây</t>
  </si>
  <si>
    <t>Lê Ngọc Lang</t>
  </si>
  <si>
    <t>ĐC: Phường Tân Chánh Hiệp, Quận 12, Thành phố Hồ Chí Minh</t>
  </si>
  <si>
    <t>Lá lốp</t>
  </si>
  <si>
    <t>Đ/c: xã Thạnh Hiệp, huyện Gò Dầu, tỉnh Tây Ninh</t>
  </si>
  <si>
    <t>Đất nông nghiệp trồng cây hàng năm  tiếp giáp hẻm đường đất rộng &lt;3,5m trong phạm vi 150m đầu của đường Trương Quyền đoạn từ đường CMT8 (Ngã 3 Lý Dậu) đến đường Trưng Nữ Vương (Ngã 4 Quốc Tế), phạm vi thu hồi 50m đầu, thuộc vị trí 1, xã loại I</t>
  </si>
  <si>
    <t>Đất ở đô thị  tiếp giáp hẻm bê tông rộng từ 3,5m đến 6m trong phạm vi 150m đầu của đường Phạm Văn Chiêu đoạn từ đường Trương Quyền đến đường Võ Văn Truyện (Đường Trần Phú cũ), phạm vi thu hồi 50 mét đầu</t>
  </si>
  <si>
    <t>(Kèm theo Thông báo số 125/BC-TTPTQĐ ngày 08 tháng 5 năm 2023 của Trung tâm Phát triển quỹ đất Thành phố)</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</si>
</sst>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VND&quot;#,##0_);\(&quot;VND&quot;#,##0\)"/>
    <numFmt numFmtId="165" formatCode="&quot;VND&quot;#,##0_);[Red]\(&quot;VND&quot;#,##0\)"/>
    <numFmt numFmtId="166" formatCode="&quot;VND&quot;#,##0.00_);\(&quot;VND&quot;#,##0.00\)"/>
    <numFmt numFmtId="167" formatCode="&quot;VND&quot;#,##0.00_);[Red]\(&quot;VND&quot;#,##0.00\)"/>
    <numFmt numFmtId="168" formatCode="_(&quot;VND&quot;* #,##0_);_(&quot;VND&quot;* \(#,##0\);_(&quot;VND&quot;* &quot;-&quot;_);_(@_)"/>
    <numFmt numFmtId="169" formatCode="_(&quot;VND&quot;* #,##0.00_);_(&quot;VND&quot;* \(#,##0.00\);_(&quot;VND&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quot;€&quot;\ * #,##0.00_);_(&quot;€&quot;\ * \(#,##0.00\);_(&quot;€&quot;\ *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 numFmtId="197" formatCode="0.000"/>
    <numFmt numFmtId="198" formatCode="0.0E+00"/>
    <numFmt numFmtId="199" formatCode="0.000E+00"/>
    <numFmt numFmtId="200" formatCode="0E+00"/>
  </numFmts>
  <fonts count="64">
    <font>
      <sz val="12"/>
      <name val="VNI-Times"/>
      <family val="0"/>
    </font>
    <font>
      <sz val="10"/>
      <name val="Arial"/>
      <family val="2"/>
    </font>
    <font>
      <sz val="13"/>
      <name val="Times New Roman"/>
      <family val="1"/>
    </font>
    <font>
      <b/>
      <sz val="13"/>
      <name val="Times New Roman"/>
      <family val="1"/>
    </font>
    <font>
      <sz val="12"/>
      <name val="Times New Roman"/>
      <family val="1"/>
    </font>
    <font>
      <b/>
      <sz val="12"/>
      <name val="Times New Roman"/>
      <family val="1"/>
    </font>
    <font>
      <i/>
      <sz val="13"/>
      <name val="Times New Roman"/>
      <family val="1"/>
    </font>
    <font>
      <b/>
      <i/>
      <sz val="12"/>
      <name val="Times New Roman"/>
      <family val="1"/>
    </font>
    <font>
      <i/>
      <sz val="12"/>
      <name val="Times New Roman"/>
      <family val="1"/>
    </font>
    <font>
      <vertAlign val="superscript"/>
      <sz val="12"/>
      <name val="Times New Roman"/>
      <family val="1"/>
    </font>
    <font>
      <sz val="12"/>
      <color indexed="10"/>
      <name val="Times New Roman"/>
      <family val="1"/>
    </font>
    <font>
      <b/>
      <i/>
      <sz val="13"/>
      <name val="Times New Roman"/>
      <family val="1"/>
    </font>
    <font>
      <b/>
      <sz val="11"/>
      <name val="Times New Roman"/>
      <family val="1"/>
    </font>
    <font>
      <sz val="11"/>
      <name val="Times New Roman"/>
      <family val="1"/>
    </font>
    <font>
      <vertAlign val="superscript"/>
      <sz val="11"/>
      <name val="Times New Roman"/>
      <family val="1"/>
    </font>
    <font>
      <sz val="11"/>
      <color indexed="10"/>
      <name val="Times New Roman"/>
      <family val="1"/>
    </font>
    <font>
      <vertAlign val="superscript"/>
      <sz val="11"/>
      <color indexed="10"/>
      <name val="Times New Roman"/>
      <family val="1"/>
    </font>
    <font>
      <i/>
      <sz val="11"/>
      <name val="Times New Roman"/>
      <family val="1"/>
    </font>
    <font>
      <sz val="11"/>
      <name val="TimesNewRomanPS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1"/>
      <color rgb="FFFF0000"/>
      <name val="Times New Roman"/>
      <family val="1"/>
    </font>
    <font>
      <sz val="12"/>
      <color theme="1"/>
      <name val="Times New Roman"/>
      <family val="1"/>
    </font>
    <font>
      <b/>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dotted"/>
    </border>
    <border>
      <left style="thin"/>
      <right style="thin"/>
      <top style="dotted"/>
      <bottom style="dotted"/>
    </border>
    <border>
      <left style="thin"/>
      <right style="thin"/>
      <top>
        <color indexed="63"/>
      </top>
      <bottom>
        <color indexed="63"/>
      </bottom>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thin"/>
      <top style="thin"/>
      <bottom style="thin"/>
    </border>
    <border>
      <left>
        <color indexed="63"/>
      </left>
      <right style="thin"/>
      <top style="dotted"/>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08">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3"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11" xfId="0" applyNumberFormat="1" applyFont="1" applyBorder="1" applyAlignment="1">
      <alignment horizontal="center" vertical="center"/>
    </xf>
    <xf numFmtId="2" fontId="4" fillId="0" borderId="11" xfId="0" applyNumberFormat="1" applyFont="1" applyBorder="1" applyAlignment="1">
      <alignment horizontal="justify"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4" fontId="4" fillId="0" borderId="12" xfId="0" applyNumberFormat="1" applyFont="1" applyBorder="1" applyAlignment="1">
      <alignment horizontal="center" vertical="center"/>
    </xf>
    <xf numFmtId="2" fontId="5" fillId="0" borderId="10" xfId="0" applyNumberFormat="1" applyFont="1" applyBorder="1" applyAlignment="1">
      <alignment horizontal="justify" vertical="center" wrapText="1"/>
    </xf>
    <xf numFmtId="2" fontId="4" fillId="0" borderId="10" xfId="0" applyNumberFormat="1" applyFont="1" applyBorder="1" applyAlignment="1">
      <alignment horizontal="justify" vertical="center" wrapText="1"/>
    </xf>
    <xf numFmtId="2" fontId="4" fillId="0" borderId="0" xfId="0" applyNumberFormat="1" applyFont="1" applyAlignment="1">
      <alignment horizontal="justify" vertical="center" wrapText="1"/>
    </xf>
    <xf numFmtId="2" fontId="4" fillId="0" borderId="12" xfId="0" applyNumberFormat="1" applyFont="1" applyBorder="1" applyAlignment="1">
      <alignment horizontal="justify" vertical="center" wrapText="1"/>
    </xf>
    <xf numFmtId="2" fontId="4" fillId="0" borderId="10" xfId="0" applyNumberFormat="1" applyFont="1" applyBorder="1" applyAlignment="1">
      <alignment horizontal="center" vertical="center"/>
    </xf>
    <xf numFmtId="4" fontId="4" fillId="0" borderId="11" xfId="0" applyNumberFormat="1" applyFont="1" applyBorder="1" applyAlignment="1">
      <alignment horizontal="center" vertical="center" wrapText="1"/>
    </xf>
    <xf numFmtId="4" fontId="60" fillId="0" borderId="10" xfId="0" applyNumberFormat="1" applyFont="1" applyBorder="1" applyAlignment="1">
      <alignment horizontal="center" vertical="center"/>
    </xf>
    <xf numFmtId="0" fontId="60" fillId="0" borderId="11" xfId="0" applyFont="1" applyBorder="1" applyAlignment="1">
      <alignment horizontal="justify" vertical="center" wrapText="1"/>
    </xf>
    <xf numFmtId="3" fontId="4" fillId="0" borderId="11" xfId="0" applyNumberFormat="1" applyFont="1" applyBorder="1" applyAlignment="1">
      <alignment horizontal="right" vertical="center"/>
    </xf>
    <xf numFmtId="3" fontId="4" fillId="0" borderId="10" xfId="0" applyNumberFormat="1" applyFont="1" applyBorder="1" applyAlignment="1">
      <alignment horizontal="right" vertical="center"/>
    </xf>
    <xf numFmtId="2" fontId="60" fillId="0" borderId="11" xfId="0" applyNumberFormat="1" applyFont="1" applyBorder="1" applyAlignment="1">
      <alignment horizontal="justify" vertical="center" wrapText="1"/>
    </xf>
    <xf numFmtId="0" fontId="4" fillId="33" borderId="11"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4" borderId="10" xfId="0" applyFont="1" applyFill="1" applyBorder="1" applyAlignment="1">
      <alignment horizontal="justify" vertical="center" wrapText="1"/>
    </xf>
    <xf numFmtId="2" fontId="4" fillId="34" borderId="11" xfId="0" applyNumberFormat="1" applyFont="1" applyFill="1" applyBorder="1" applyAlignment="1">
      <alignment horizontal="justify" vertical="center" wrapText="1"/>
    </xf>
    <xf numFmtId="3" fontId="4" fillId="0" borderId="14" xfId="0" applyNumberFormat="1" applyFont="1" applyBorder="1" applyAlignment="1">
      <alignment horizontal="right" vertical="center"/>
    </xf>
    <xf numFmtId="2" fontId="4" fillId="0" borderId="15" xfId="0" applyNumberFormat="1" applyFont="1" applyBorder="1" applyAlignment="1">
      <alignment horizontal="justify" vertical="center" wrapText="1"/>
    </xf>
    <xf numFmtId="0" fontId="4" fillId="0" borderId="15" xfId="0" applyFont="1" applyBorder="1" applyAlignment="1">
      <alignment horizontal="justify" vertical="center" wrapText="1"/>
    </xf>
    <xf numFmtId="0" fontId="4" fillId="0" borderId="15" xfId="0" applyFont="1" applyBorder="1" applyAlignment="1">
      <alignment horizontal="center" vertical="center"/>
    </xf>
    <xf numFmtId="4" fontId="4" fillId="0" borderId="15" xfId="0" applyNumberFormat="1" applyFont="1" applyBorder="1" applyAlignment="1">
      <alignment horizontal="center" vertical="center"/>
    </xf>
    <xf numFmtId="0" fontId="4" fillId="0" borderId="10" xfId="0" applyFont="1" applyBorder="1" applyAlignment="1">
      <alignment horizontal="center" vertical="center" wrapText="1"/>
    </xf>
    <xf numFmtId="0" fontId="4" fillId="34" borderId="11"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 fillId="0" borderId="12" xfId="0" applyFont="1" applyBorder="1" applyAlignment="1">
      <alignment horizontal="justify" vertical="center" wrapText="1"/>
    </xf>
    <xf numFmtId="0" fontId="4" fillId="0" borderId="11" xfId="0" applyFont="1" applyBorder="1" applyAlignment="1">
      <alignment/>
    </xf>
    <xf numFmtId="2" fontId="5" fillId="33" borderId="10" xfId="0" applyNumberFormat="1" applyFont="1" applyFill="1" applyBorder="1" applyAlignment="1">
      <alignment horizontal="justify" vertical="center" wrapText="1"/>
    </xf>
    <xf numFmtId="0" fontId="5" fillId="34" borderId="16" xfId="0" applyFont="1" applyFill="1" applyBorder="1" applyAlignment="1">
      <alignment horizontal="center" vertical="center"/>
    </xf>
    <xf numFmtId="2" fontId="7" fillId="34" borderId="16" xfId="0" applyNumberFormat="1" applyFont="1" applyFill="1" applyBorder="1" applyAlignment="1">
      <alignment horizontal="center" vertical="center" wrapText="1"/>
    </xf>
    <xf numFmtId="0" fontId="4" fillId="34" borderId="16" xfId="0" applyFont="1" applyFill="1" applyBorder="1" applyAlignment="1">
      <alignment horizontal="justify" vertical="center" wrapText="1"/>
    </xf>
    <xf numFmtId="0" fontId="4" fillId="34" borderId="16" xfId="0" applyFont="1" applyFill="1" applyBorder="1" applyAlignment="1">
      <alignment horizontal="center" vertical="center"/>
    </xf>
    <xf numFmtId="4" fontId="4" fillId="34" borderId="16" xfId="0" applyNumberFormat="1" applyFont="1" applyFill="1" applyBorder="1" applyAlignment="1">
      <alignment horizontal="center" vertical="center"/>
    </xf>
    <xf numFmtId="0" fontId="4" fillId="34" borderId="0" xfId="0" applyFont="1" applyFill="1" applyAlignment="1">
      <alignment/>
    </xf>
    <xf numFmtId="0" fontId="4" fillId="34" borderId="11" xfId="0" applyFont="1" applyFill="1" applyBorder="1" applyAlignment="1">
      <alignment horizontal="justify" vertical="center" wrapText="1"/>
    </xf>
    <xf numFmtId="0" fontId="4" fillId="34" borderId="10" xfId="0" applyFont="1" applyFill="1" applyBorder="1" applyAlignment="1">
      <alignment horizontal="center" vertical="center"/>
    </xf>
    <xf numFmtId="4" fontId="4" fillId="34" borderId="10" xfId="0" applyNumberFormat="1" applyFont="1" applyFill="1" applyBorder="1" applyAlignment="1">
      <alignment horizontal="center" vertical="center"/>
    </xf>
    <xf numFmtId="2" fontId="5" fillId="0" borderId="11" xfId="0" applyNumberFormat="1" applyFont="1" applyBorder="1" applyAlignment="1">
      <alignment horizontal="justify" vertical="center" wrapText="1"/>
    </xf>
    <xf numFmtId="2" fontId="4" fillId="33" borderId="11" xfId="0" applyNumberFormat="1" applyFont="1" applyFill="1" applyBorder="1" applyAlignment="1">
      <alignment horizontal="justify" vertical="center" wrapText="1"/>
    </xf>
    <xf numFmtId="0" fontId="4" fillId="0" borderId="11" xfId="0" applyFont="1" applyBorder="1" applyAlignment="1">
      <alignment horizontal="center" vertical="center" wrapText="1"/>
    </xf>
    <xf numFmtId="0" fontId="5" fillId="34" borderId="10" xfId="0" applyFont="1" applyFill="1" applyBorder="1" applyAlignment="1">
      <alignment horizontal="center" vertical="center"/>
    </xf>
    <xf numFmtId="2" fontId="5" fillId="34" borderId="10" xfId="0" applyNumberFormat="1" applyFont="1" applyFill="1" applyBorder="1" applyAlignment="1">
      <alignment horizontal="justify" vertical="center" wrapText="1"/>
    </xf>
    <xf numFmtId="0" fontId="4" fillId="34" borderId="13" xfId="0" applyFont="1" applyFill="1" applyBorder="1" applyAlignment="1">
      <alignment horizontal="justify" vertical="center" wrapText="1"/>
    </xf>
    <xf numFmtId="4" fontId="4" fillId="34" borderId="13" xfId="0" applyNumberFormat="1" applyFont="1" applyFill="1" applyBorder="1" applyAlignment="1">
      <alignment horizontal="center" vertical="center" wrapText="1"/>
    </xf>
    <xf numFmtId="3" fontId="4" fillId="0" borderId="15" xfId="0" applyNumberFormat="1" applyFont="1" applyBorder="1" applyAlignment="1">
      <alignment horizontal="right" vertical="center"/>
    </xf>
    <xf numFmtId="0" fontId="60" fillId="34" borderId="11" xfId="0" applyFont="1" applyFill="1" applyBorder="1" applyAlignment="1">
      <alignment horizontal="justify" vertical="center" wrapText="1"/>
    </xf>
    <xf numFmtId="4" fontId="4" fillId="34" borderId="11" xfId="0" applyNumberFormat="1" applyFont="1" applyFill="1" applyBorder="1" applyAlignment="1">
      <alignment horizontal="center" vertical="center"/>
    </xf>
    <xf numFmtId="0" fontId="5" fillId="34" borderId="11" xfId="0" applyFont="1" applyFill="1" applyBorder="1" applyAlignment="1">
      <alignment horizontal="center" vertical="center"/>
    </xf>
    <xf numFmtId="2" fontId="4" fillId="34" borderId="10" xfId="0" applyNumberFormat="1" applyFont="1" applyFill="1" applyBorder="1" applyAlignment="1">
      <alignment horizontal="justify" vertical="center" wrapText="1"/>
    </xf>
    <xf numFmtId="2" fontId="8" fillId="0" borderId="11" xfId="0" applyNumberFormat="1" applyFont="1" applyBorder="1" applyAlignment="1">
      <alignment horizontal="center" vertical="center" wrapText="1"/>
    </xf>
    <xf numFmtId="2" fontId="4" fillId="34" borderId="11" xfId="0" applyNumberFormat="1" applyFont="1" applyFill="1" applyBorder="1" applyAlignment="1">
      <alignment horizontal="center" vertical="center"/>
    </xf>
    <xf numFmtId="4" fontId="60" fillId="0" borderId="10" xfId="0" applyNumberFormat="1" applyFont="1" applyBorder="1" applyAlignment="1">
      <alignment horizontal="center" vertical="center" wrapText="1"/>
    </xf>
    <xf numFmtId="2" fontId="4" fillId="0" borderId="14" xfId="0" applyNumberFormat="1" applyFont="1" applyBorder="1" applyAlignment="1">
      <alignment horizontal="justify" vertical="center" wrapText="1"/>
    </xf>
    <xf numFmtId="3" fontId="2" fillId="34" borderId="0" xfId="0" applyNumberFormat="1" applyFont="1" applyFill="1" applyAlignment="1">
      <alignment horizontal="right"/>
    </xf>
    <xf numFmtId="3" fontId="4" fillId="34" borderId="0" xfId="0" applyNumberFormat="1" applyFont="1" applyFill="1" applyAlignment="1">
      <alignment horizontal="right"/>
    </xf>
    <xf numFmtId="2" fontId="5" fillId="34" borderId="11" xfId="0" applyNumberFormat="1" applyFont="1" applyFill="1" applyBorder="1" applyAlignment="1">
      <alignment horizontal="justify" vertical="center" wrapText="1"/>
    </xf>
    <xf numFmtId="4" fontId="4" fillId="33" borderId="11" xfId="0" applyNumberFormat="1" applyFont="1" applyFill="1" applyBorder="1" applyAlignment="1">
      <alignment horizontal="center" vertical="center"/>
    </xf>
    <xf numFmtId="0" fontId="5" fillId="34" borderId="0" xfId="0" applyFont="1" applyFill="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34" borderId="0" xfId="0" applyFont="1" applyFill="1" applyAlignment="1">
      <alignment vertical="center"/>
    </xf>
    <xf numFmtId="0" fontId="4" fillId="0" borderId="17" xfId="0" applyFont="1" applyBorder="1" applyAlignment="1">
      <alignment vertical="center"/>
    </xf>
    <xf numFmtId="0" fontId="4" fillId="0" borderId="14" xfId="0" applyFont="1" applyBorder="1" applyAlignment="1">
      <alignment/>
    </xf>
    <xf numFmtId="4" fontId="4" fillId="34" borderId="11" xfId="0" applyNumberFormat="1" applyFont="1" applyFill="1" applyBorder="1" applyAlignment="1">
      <alignment horizontal="center" vertical="center" wrapText="1"/>
    </xf>
    <xf numFmtId="0" fontId="4" fillId="10" borderId="11" xfId="0" applyFont="1" applyFill="1" applyBorder="1" applyAlignment="1">
      <alignment horizontal="justify" vertical="center" wrapText="1"/>
    </xf>
    <xf numFmtId="0" fontId="4" fillId="10" borderId="11" xfId="0" applyFont="1" applyFill="1" applyBorder="1" applyAlignment="1">
      <alignment horizontal="center" vertical="center"/>
    </xf>
    <xf numFmtId="4" fontId="4" fillId="10" borderId="11" xfId="0" applyNumberFormat="1" applyFont="1" applyFill="1" applyBorder="1" applyAlignment="1">
      <alignment horizontal="center" vertical="center"/>
    </xf>
    <xf numFmtId="2" fontId="4" fillId="10" borderId="11" xfId="0" applyNumberFormat="1"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0" xfId="0" applyFont="1" applyFill="1" applyBorder="1" applyAlignment="1">
      <alignment horizontal="justify" vertical="center" wrapText="1"/>
    </xf>
    <xf numFmtId="4" fontId="4" fillId="34" borderId="10" xfId="0" applyNumberFormat="1" applyFont="1" applyFill="1" applyBorder="1" applyAlignment="1">
      <alignment horizontal="center" vertical="center" wrapText="1"/>
    </xf>
    <xf numFmtId="0" fontId="4" fillId="34" borderId="0" xfId="0" applyFont="1" applyFill="1" applyBorder="1" applyAlignment="1">
      <alignment horizontal="center" vertical="center"/>
    </xf>
    <xf numFmtId="2" fontId="4" fillId="0" borderId="15" xfId="0" applyNumberFormat="1" applyFont="1" applyBorder="1" applyAlignment="1">
      <alignment horizontal="center" vertical="center"/>
    </xf>
    <xf numFmtId="4" fontId="60" fillId="0" borderId="11" xfId="0" applyNumberFormat="1" applyFont="1" applyBorder="1" applyAlignment="1">
      <alignment horizontal="center" vertical="center"/>
    </xf>
    <xf numFmtId="0" fontId="4" fillId="35" borderId="11" xfId="0" applyFont="1" applyFill="1" applyBorder="1" applyAlignment="1">
      <alignment horizontal="justify" vertical="center" wrapText="1"/>
    </xf>
    <xf numFmtId="0" fontId="4" fillId="35" borderId="11" xfId="0" applyFont="1" applyFill="1" applyBorder="1" applyAlignment="1">
      <alignment horizontal="center" vertical="center"/>
    </xf>
    <xf numFmtId="0" fontId="61" fillId="0" borderId="10" xfId="0" applyFont="1" applyBorder="1" applyAlignment="1">
      <alignment horizontal="justify" vertical="center" wrapText="1"/>
    </xf>
    <xf numFmtId="0" fontId="61" fillId="0" borderId="10" xfId="0" applyFont="1" applyBorder="1" applyAlignment="1">
      <alignment horizontal="left" vertical="center" wrapText="1"/>
    </xf>
    <xf numFmtId="0" fontId="13" fillId="0" borderId="11" xfId="0" applyFont="1" applyBorder="1" applyAlignment="1">
      <alignment horizontal="left" vertical="center" wrapText="1"/>
    </xf>
    <xf numFmtId="0" fontId="61"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0" xfId="0" applyFont="1" applyBorder="1" applyAlignment="1">
      <alignment horizontal="left" vertical="center" wrapText="1"/>
    </xf>
    <xf numFmtId="0" fontId="61" fillId="34" borderId="11" xfId="0" applyFont="1" applyFill="1" applyBorder="1" applyAlignment="1">
      <alignment horizontal="justify" vertical="center" wrapText="1"/>
    </xf>
    <xf numFmtId="2" fontId="13" fillId="0" borderId="11" xfId="0" applyNumberFormat="1" applyFont="1" applyBorder="1" applyAlignment="1">
      <alignment horizontal="left" vertical="center" wrapText="1"/>
    </xf>
    <xf numFmtId="0" fontId="13" fillId="10" borderId="10" xfId="0" applyFont="1" applyFill="1" applyBorder="1" applyAlignment="1">
      <alignment horizontal="justify" vertical="center" wrapText="1"/>
    </xf>
    <xf numFmtId="0" fontId="61" fillId="0" borderId="12" xfId="0" applyFont="1" applyBorder="1" applyAlignment="1">
      <alignment horizontal="justify" vertical="center" wrapText="1"/>
    </xf>
    <xf numFmtId="0" fontId="61" fillId="34" borderId="10" xfId="0" applyFont="1" applyFill="1" applyBorder="1" applyAlignment="1">
      <alignment horizontal="justify" vertical="center" wrapText="1"/>
    </xf>
    <xf numFmtId="0" fontId="61" fillId="0" borderId="11" xfId="0" applyFont="1" applyBorder="1" applyAlignment="1">
      <alignment horizontal="left" vertical="center" wrapText="1"/>
    </xf>
    <xf numFmtId="0" fontId="61" fillId="0" borderId="15" xfId="0" applyFont="1" applyBorder="1" applyAlignment="1">
      <alignment horizontal="justify" vertical="center" wrapText="1"/>
    </xf>
    <xf numFmtId="0" fontId="13" fillId="0" borderId="11" xfId="0" applyFont="1" applyBorder="1" applyAlignment="1">
      <alignment vertical="center" wrapText="1"/>
    </xf>
    <xf numFmtId="0" fontId="13" fillId="34" borderId="10" xfId="0" applyFont="1" applyFill="1" applyBorder="1" applyAlignment="1">
      <alignment horizontal="justify" vertical="center" wrapText="1"/>
    </xf>
    <xf numFmtId="0" fontId="13" fillId="34" borderId="11" xfId="0" applyFont="1" applyFill="1" applyBorder="1" applyAlignment="1">
      <alignment horizontal="justify" vertical="center" wrapText="1"/>
    </xf>
    <xf numFmtId="0" fontId="13" fillId="0" borderId="15" xfId="0" applyFont="1" applyBorder="1" applyAlignment="1">
      <alignment horizontal="justify" vertical="center" wrapText="1"/>
    </xf>
    <xf numFmtId="3" fontId="6" fillId="34" borderId="0" xfId="0" applyNumberFormat="1" applyFont="1" applyFill="1" applyBorder="1" applyAlignment="1">
      <alignment horizontal="right" vertical="center"/>
    </xf>
    <xf numFmtId="0" fontId="13" fillId="34" borderId="0" xfId="0" applyFont="1" applyFill="1" applyAlignment="1">
      <alignment vertical="center"/>
    </xf>
    <xf numFmtId="0" fontId="13" fillId="34" borderId="0" xfId="0" applyFont="1" applyFill="1" applyBorder="1" applyAlignment="1">
      <alignment horizontal="justify" vertical="center" wrapText="1"/>
    </xf>
    <xf numFmtId="0" fontId="13" fillId="34" borderId="0" xfId="0" applyFont="1" applyFill="1" applyAlignment="1">
      <alignment/>
    </xf>
    <xf numFmtId="0" fontId="13" fillId="34" borderId="0" xfId="0" applyFont="1" applyFill="1" applyAlignment="1">
      <alignment vertical="center" wrapText="1"/>
    </xf>
    <xf numFmtId="0" fontId="13" fillId="34" borderId="0" xfId="0" applyFont="1" applyFill="1" applyAlignment="1">
      <alignment horizontal="center" vertical="center" wrapText="1"/>
    </xf>
    <xf numFmtId="0" fontId="12" fillId="34" borderId="0" xfId="0" applyFont="1" applyFill="1" applyAlignment="1">
      <alignment horizontal="center" vertical="center"/>
    </xf>
    <xf numFmtId="0" fontId="17" fillId="34" borderId="0" xfId="0" applyFont="1" applyFill="1" applyAlignment="1">
      <alignment vertical="center"/>
    </xf>
    <xf numFmtId="4" fontId="13" fillId="34" borderId="0" xfId="0" applyNumberFormat="1" applyFont="1" applyFill="1" applyAlignment="1">
      <alignment vertical="center"/>
    </xf>
    <xf numFmtId="0" fontId="13" fillId="34" borderId="18" xfId="0" applyFont="1" applyFill="1" applyBorder="1" applyAlignment="1">
      <alignment vertical="center"/>
    </xf>
    <xf numFmtId="0" fontId="13" fillId="34" borderId="0" xfId="0" applyFont="1" applyFill="1" applyAlignment="1">
      <alignment horizontal="left" vertical="center"/>
    </xf>
    <xf numFmtId="0" fontId="17" fillId="34" borderId="0" xfId="0" applyFont="1" applyFill="1" applyAlignment="1">
      <alignment/>
    </xf>
    <xf numFmtId="0" fontId="4" fillId="36" borderId="11" xfId="0" applyFont="1" applyFill="1" applyBorder="1" applyAlignment="1">
      <alignment horizontal="center" vertical="center"/>
    </xf>
    <xf numFmtId="2" fontId="4" fillId="35" borderId="12" xfId="0" applyNumberFormat="1" applyFont="1" applyFill="1" applyBorder="1" applyAlignment="1">
      <alignment horizontal="justify" vertical="center" wrapText="1"/>
    </xf>
    <xf numFmtId="4" fontId="4" fillId="35" borderId="11" xfId="0" applyNumberFormat="1" applyFont="1" applyFill="1" applyBorder="1" applyAlignment="1">
      <alignment horizontal="center" vertical="center"/>
    </xf>
    <xf numFmtId="0" fontId="61" fillId="35" borderId="11" xfId="0" applyFont="1" applyFill="1" applyBorder="1" applyAlignment="1">
      <alignment horizontal="justify" vertical="center" wrapText="1"/>
    </xf>
    <xf numFmtId="3" fontId="5" fillId="34" borderId="16" xfId="0" applyNumberFormat="1" applyFont="1" applyFill="1" applyBorder="1" applyAlignment="1">
      <alignment horizontal="right" vertical="center"/>
    </xf>
    <xf numFmtId="3" fontId="4" fillId="34"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3" fontId="4" fillId="10" borderId="11" xfId="0" applyNumberFormat="1" applyFont="1" applyFill="1" applyBorder="1" applyAlignment="1">
      <alignment horizontal="right" vertical="center"/>
    </xf>
    <xf numFmtId="3" fontId="4" fillId="33" borderId="11" xfId="0" applyNumberFormat="1" applyFont="1" applyFill="1" applyBorder="1" applyAlignment="1">
      <alignment horizontal="right" vertical="center"/>
    </xf>
    <xf numFmtId="3" fontId="60" fillId="0" borderId="10" xfId="0" applyNumberFormat="1" applyFont="1" applyBorder="1" applyAlignment="1">
      <alignment horizontal="right" vertical="center"/>
    </xf>
    <xf numFmtId="3" fontId="4" fillId="34" borderId="11" xfId="0" applyNumberFormat="1" applyFont="1" applyFill="1" applyBorder="1" applyAlignment="1">
      <alignment horizontal="right" vertical="center"/>
    </xf>
    <xf numFmtId="3" fontId="60" fillId="0" borderId="11" xfId="0" applyNumberFormat="1" applyFont="1" applyBorder="1" applyAlignment="1">
      <alignment horizontal="right" vertical="center"/>
    </xf>
    <xf numFmtId="3" fontId="4" fillId="35" borderId="10" xfId="0" applyNumberFormat="1" applyFont="1" applyFill="1" applyBorder="1" applyAlignment="1">
      <alignment horizontal="right" vertical="center"/>
    </xf>
    <xf numFmtId="3" fontId="4" fillId="34" borderId="16"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3" fontId="4" fillId="35" borderId="11" xfId="0" applyNumberFormat="1" applyFont="1" applyFill="1" applyBorder="1" applyAlignment="1">
      <alignment horizontal="right" vertical="center"/>
    </xf>
    <xf numFmtId="3" fontId="60" fillId="34" borderId="10" xfId="0" applyNumberFormat="1" applyFont="1" applyFill="1" applyBorder="1" applyAlignment="1">
      <alignment horizontal="right" vertical="center"/>
    </xf>
    <xf numFmtId="3" fontId="4" fillId="0" borderId="12" xfId="0" applyNumberFormat="1" applyFont="1" applyBorder="1" applyAlignment="1">
      <alignment horizontal="right" vertical="center"/>
    </xf>
    <xf numFmtId="3" fontId="60" fillId="33" borderId="11" xfId="0" applyNumberFormat="1" applyFont="1" applyFill="1" applyBorder="1" applyAlignment="1">
      <alignment horizontal="right" vertical="center"/>
    </xf>
    <xf numFmtId="0" fontId="61" fillId="34" borderId="12" xfId="0" applyFont="1" applyFill="1" applyBorder="1" applyAlignment="1">
      <alignment horizontal="justify" vertical="center" wrapText="1"/>
    </xf>
    <xf numFmtId="0" fontId="5" fillId="34" borderId="12" xfId="0" applyFont="1" applyFill="1" applyBorder="1" applyAlignment="1">
      <alignment horizontal="center" vertical="center"/>
    </xf>
    <xf numFmtId="2" fontId="4" fillId="34" borderId="18" xfId="0" applyNumberFormat="1" applyFont="1" applyFill="1" applyBorder="1" applyAlignment="1">
      <alignment horizontal="justify" vertical="center" wrapText="1"/>
    </xf>
    <xf numFmtId="4" fontId="4" fillId="34" borderId="19" xfId="0" applyNumberFormat="1" applyFont="1" applyFill="1" applyBorder="1" applyAlignment="1">
      <alignment horizontal="center" vertical="center"/>
    </xf>
    <xf numFmtId="3" fontId="4" fillId="34" borderId="12" xfId="0" applyNumberFormat="1" applyFont="1" applyFill="1" applyBorder="1" applyAlignment="1">
      <alignment horizontal="right" vertical="center"/>
    </xf>
    <xf numFmtId="0" fontId="13" fillId="34" borderId="12" xfId="0" applyFont="1" applyFill="1" applyBorder="1" applyAlignment="1">
      <alignment horizontal="justify" vertical="center" wrapText="1"/>
    </xf>
    <xf numFmtId="0" fontId="7" fillId="34" borderId="16" xfId="0" applyFont="1" applyFill="1" applyBorder="1" applyAlignment="1">
      <alignment horizontal="center" vertical="center"/>
    </xf>
    <xf numFmtId="0" fontId="8" fillId="34" borderId="16" xfId="0" applyFont="1" applyFill="1" applyBorder="1" applyAlignment="1">
      <alignment horizontal="justify" vertical="center" wrapText="1"/>
    </xf>
    <xf numFmtId="0" fontId="8" fillId="34" borderId="16" xfId="0" applyFont="1" applyFill="1" applyBorder="1" applyAlignment="1">
      <alignment horizontal="center" vertical="center"/>
    </xf>
    <xf numFmtId="3" fontId="8" fillId="34" borderId="16" xfId="0" applyNumberFormat="1" applyFont="1" applyFill="1" applyBorder="1" applyAlignment="1">
      <alignment horizontal="right" vertical="center"/>
    </xf>
    <xf numFmtId="0" fontId="8" fillId="34" borderId="0" xfId="0" applyFont="1" applyFill="1" applyAlignment="1">
      <alignment/>
    </xf>
    <xf numFmtId="2" fontId="5" fillId="34" borderId="13" xfId="0" applyNumberFormat="1" applyFont="1" applyFill="1" applyBorder="1" applyAlignment="1">
      <alignment horizontal="justify" vertical="center" wrapText="1"/>
    </xf>
    <xf numFmtId="4" fontId="4" fillId="34" borderId="13" xfId="0" applyNumberFormat="1" applyFont="1" applyFill="1" applyBorder="1" applyAlignment="1">
      <alignment horizontal="center" vertical="center"/>
    </xf>
    <xf numFmtId="3" fontId="5" fillId="0" borderId="10" xfId="0" applyNumberFormat="1" applyFont="1" applyBorder="1" applyAlignment="1">
      <alignment horizontal="right" vertical="center"/>
    </xf>
    <xf numFmtId="3" fontId="4" fillId="0" borderId="20" xfId="0" applyNumberFormat="1" applyFont="1" applyBorder="1" applyAlignment="1">
      <alignment horizontal="right" vertical="center"/>
    </xf>
    <xf numFmtId="3" fontId="5" fillId="34" borderId="13" xfId="0" applyNumberFormat="1" applyFont="1" applyFill="1" applyBorder="1" applyAlignment="1">
      <alignment horizontal="right" vertical="center"/>
    </xf>
    <xf numFmtId="3" fontId="4" fillId="34" borderId="14" xfId="0" applyNumberFormat="1" applyFont="1" applyFill="1" applyBorder="1" applyAlignment="1">
      <alignment horizontal="right" vertical="center"/>
    </xf>
    <xf numFmtId="3" fontId="7" fillId="34" borderId="16" xfId="0" applyNumberFormat="1" applyFont="1" applyFill="1" applyBorder="1" applyAlignment="1">
      <alignment horizontal="right" vertical="center"/>
    </xf>
    <xf numFmtId="3" fontId="0" fillId="0" borderId="0" xfId="0" applyNumberFormat="1" applyAlignment="1">
      <alignment/>
    </xf>
    <xf numFmtId="0" fontId="4" fillId="33" borderId="11" xfId="0" applyFont="1" applyFill="1" applyBorder="1" applyAlignment="1">
      <alignment horizontal="center" vertical="center"/>
    </xf>
    <xf numFmtId="0" fontId="4" fillId="33" borderId="0" xfId="0" applyFont="1" applyFill="1" applyAlignment="1">
      <alignment/>
    </xf>
    <xf numFmtId="0" fontId="61" fillId="33" borderId="11" xfId="0" applyFont="1" applyFill="1" applyBorder="1" applyAlignment="1">
      <alignment horizontal="justify" vertical="center" wrapText="1"/>
    </xf>
    <xf numFmtId="4" fontId="4" fillId="33" borderId="11" xfId="57" applyNumberFormat="1" applyFont="1" applyFill="1" applyBorder="1" applyAlignment="1">
      <alignment horizontal="center" vertical="center"/>
      <protection/>
    </xf>
    <xf numFmtId="0" fontId="61" fillId="33" borderId="10" xfId="0" applyFont="1" applyFill="1" applyBorder="1" applyAlignment="1">
      <alignment horizontal="justify" vertical="center" wrapText="1"/>
    </xf>
    <xf numFmtId="3" fontId="60" fillId="33" borderId="10" xfId="0" applyNumberFormat="1" applyFont="1" applyFill="1" applyBorder="1" applyAlignment="1">
      <alignment horizontal="right" vertical="center"/>
    </xf>
    <xf numFmtId="0" fontId="13" fillId="34" borderId="0" xfId="0" applyFont="1" applyFill="1" applyAlignment="1">
      <alignment vertical="center"/>
    </xf>
    <xf numFmtId="2" fontId="4" fillId="0" borderId="14" xfId="0" applyNumberFormat="1" applyFont="1" applyBorder="1" applyAlignment="1">
      <alignment horizontal="center" vertical="center"/>
    </xf>
    <xf numFmtId="4" fontId="4" fillId="33" borderId="10" xfId="0" applyNumberFormat="1" applyFont="1" applyFill="1" applyBorder="1" applyAlignment="1">
      <alignment horizontal="center" vertical="center" wrapText="1"/>
    </xf>
    <xf numFmtId="0" fontId="60" fillId="33" borderId="10" xfId="0" applyFont="1" applyFill="1" applyBorder="1" applyAlignment="1">
      <alignment horizontal="justify" vertical="center" wrapText="1"/>
    </xf>
    <xf numFmtId="0" fontId="4" fillId="33" borderId="10" xfId="0" applyFont="1" applyFill="1" applyBorder="1" applyAlignment="1">
      <alignment horizontal="center" vertical="center"/>
    </xf>
    <xf numFmtId="0" fontId="13" fillId="34" borderId="18" xfId="0" applyFont="1" applyFill="1" applyBorder="1" applyAlignment="1">
      <alignment vertical="center" wrapText="1"/>
    </xf>
    <xf numFmtId="2" fontId="13" fillId="34" borderId="0" xfId="0" applyNumberFormat="1" applyFont="1" applyFill="1" applyAlignment="1">
      <alignment vertical="center"/>
    </xf>
    <xf numFmtId="4" fontId="60" fillId="33" borderId="10" xfId="0" applyNumberFormat="1" applyFont="1" applyFill="1" applyBorder="1" applyAlignment="1">
      <alignment horizontal="center" vertical="center"/>
    </xf>
    <xf numFmtId="3" fontId="4" fillId="8" borderId="10" xfId="0" applyNumberFormat="1" applyFont="1" applyFill="1" applyBorder="1" applyAlignment="1">
      <alignment horizontal="right" vertical="center"/>
    </xf>
    <xf numFmtId="3" fontId="4" fillId="8" borderId="11"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0" fontId="4" fillId="8" borderId="11" xfId="0" applyFont="1" applyFill="1" applyBorder="1" applyAlignment="1">
      <alignment horizontal="justify" vertical="center" wrapText="1"/>
    </xf>
    <xf numFmtId="0" fontId="4" fillId="8" borderId="10" xfId="0" applyFont="1" applyFill="1" applyBorder="1" applyAlignment="1">
      <alignment horizontal="justify" vertical="center" wrapText="1"/>
    </xf>
    <xf numFmtId="0" fontId="13" fillId="0" borderId="10" xfId="0" applyFont="1" applyBorder="1" applyAlignment="1" quotePrefix="1">
      <alignment horizontal="justify" vertical="center" wrapText="1"/>
    </xf>
    <xf numFmtId="0" fontId="13" fillId="0" borderId="15" xfId="0" applyFont="1" applyBorder="1" applyAlignment="1">
      <alignment horizontal="left" vertical="center" wrapText="1"/>
    </xf>
    <xf numFmtId="0" fontId="13" fillId="33" borderId="11" xfId="0" applyFont="1" applyFill="1" applyBorder="1" applyAlignment="1">
      <alignment horizontal="left" vertical="center" wrapText="1"/>
    </xf>
    <xf numFmtId="4" fontId="0" fillId="0" borderId="0" xfId="0" applyNumberFormat="1" applyAlignment="1">
      <alignment/>
    </xf>
    <xf numFmtId="0" fontId="4" fillId="0" borderId="15" xfId="0" applyFont="1" applyBorder="1" applyAlignment="1">
      <alignment/>
    </xf>
    <xf numFmtId="2" fontId="4" fillId="34" borderId="15" xfId="0" applyNumberFormat="1" applyFont="1" applyFill="1" applyBorder="1" applyAlignment="1">
      <alignment horizontal="justify" vertical="center" wrapText="1"/>
    </xf>
    <xf numFmtId="0" fontId="4" fillId="34" borderId="12" xfId="0" applyFont="1" applyFill="1" applyBorder="1" applyAlignment="1">
      <alignment horizontal="justify" vertical="center" wrapText="1"/>
    </xf>
    <xf numFmtId="0" fontId="62" fillId="34" borderId="11" xfId="0" applyFont="1" applyFill="1" applyBorder="1" applyAlignment="1">
      <alignment horizontal="justify" vertical="center" wrapText="1"/>
    </xf>
    <xf numFmtId="3" fontId="4" fillId="0" borderId="0" xfId="0" applyNumberFormat="1" applyFont="1" applyAlignment="1">
      <alignment/>
    </xf>
    <xf numFmtId="0" fontId="60" fillId="33" borderId="0" xfId="0" applyFont="1" applyFill="1" applyAlignment="1">
      <alignment/>
    </xf>
    <xf numFmtId="0" fontId="60" fillId="33" borderId="12" xfId="0" applyFont="1" applyFill="1" applyBorder="1" applyAlignment="1">
      <alignment horizontal="justify" vertical="center" wrapText="1"/>
    </xf>
    <xf numFmtId="4" fontId="60" fillId="33" borderId="0" xfId="0" applyNumberFormat="1" applyFont="1" applyFill="1" applyAlignment="1">
      <alignment/>
    </xf>
    <xf numFmtId="3" fontId="60" fillId="33" borderId="0" xfId="0" applyNumberFormat="1" applyFont="1" applyFill="1" applyAlignment="1">
      <alignment/>
    </xf>
    <xf numFmtId="3" fontId="4" fillId="33" borderId="0" xfId="0" applyNumberFormat="1" applyFont="1" applyFill="1" applyAlignment="1">
      <alignment/>
    </xf>
    <xf numFmtId="0" fontId="2" fillId="34" borderId="0" xfId="0" applyFont="1" applyFill="1" applyAlignment="1">
      <alignment/>
    </xf>
    <xf numFmtId="0" fontId="2" fillId="34" borderId="0" xfId="0" applyFont="1" applyFill="1" applyAlignment="1">
      <alignment horizontal="justify" vertical="center" wrapText="1"/>
    </xf>
    <xf numFmtId="0" fontId="2" fillId="34" borderId="0" xfId="0" applyFont="1" applyFill="1" applyAlignment="1">
      <alignment horizontal="center"/>
    </xf>
    <xf numFmtId="4" fontId="2" fillId="34" borderId="0" xfId="0" applyNumberFormat="1" applyFont="1" applyFill="1" applyAlignment="1">
      <alignment horizontal="center" vertical="center"/>
    </xf>
    <xf numFmtId="0" fontId="4" fillId="34" borderId="0" xfId="0" applyFont="1" applyFill="1" applyAlignment="1">
      <alignment/>
    </xf>
    <xf numFmtId="0" fontId="11" fillId="34" borderId="0" xfId="0" applyFont="1" applyFill="1" applyBorder="1" applyAlignment="1">
      <alignment horizontal="center" vertical="center"/>
    </xf>
    <xf numFmtId="2" fontId="6" fillId="34" borderId="0" xfId="0" applyNumberFormat="1" applyFont="1" applyFill="1" applyBorder="1" applyAlignment="1">
      <alignment horizontal="center" vertical="center" wrapText="1"/>
    </xf>
    <xf numFmtId="0" fontId="6" fillId="34" borderId="0" xfId="0" applyFont="1" applyFill="1" applyBorder="1" applyAlignment="1">
      <alignment horizontal="justify" vertical="center" wrapText="1"/>
    </xf>
    <xf numFmtId="4" fontId="6" fillId="34" borderId="0" xfId="0" applyNumberFormat="1" applyFont="1" applyFill="1" applyBorder="1" applyAlignment="1">
      <alignment horizontal="center" vertical="center"/>
    </xf>
    <xf numFmtId="0" fontId="6" fillId="34" borderId="0" xfId="0" applyFont="1" applyFill="1" applyBorder="1" applyAlignment="1">
      <alignment horizontal="right" vertical="center"/>
    </xf>
    <xf numFmtId="2" fontId="5" fillId="34" borderId="16" xfId="0" applyNumberFormat="1" applyFont="1" applyFill="1" applyBorder="1" applyAlignment="1">
      <alignment horizontal="center" vertical="center" wrapText="1"/>
    </xf>
    <xf numFmtId="0" fontId="5" fillId="34" borderId="16" xfId="0" applyFont="1" applyFill="1" applyBorder="1" applyAlignment="1">
      <alignment horizontal="center" vertical="center" wrapText="1"/>
    </xf>
    <xf numFmtId="4" fontId="5" fillId="34" borderId="16" xfId="0" applyNumberFormat="1" applyFont="1" applyFill="1" applyBorder="1" applyAlignment="1">
      <alignment horizontal="center" vertical="center" wrapText="1"/>
    </xf>
    <xf numFmtId="3" fontId="5" fillId="34" borderId="16" xfId="0" applyNumberFormat="1" applyFont="1" applyFill="1" applyBorder="1" applyAlignment="1">
      <alignment horizontal="center" vertical="center"/>
    </xf>
    <xf numFmtId="0" fontId="12" fillId="34" borderId="16" xfId="0" applyFont="1" applyFill="1" applyBorder="1" applyAlignment="1">
      <alignment horizontal="center" vertical="center" wrapText="1"/>
    </xf>
    <xf numFmtId="3" fontId="5" fillId="34" borderId="10" xfId="0" applyNumberFormat="1" applyFont="1" applyFill="1" applyBorder="1" applyAlignment="1">
      <alignment horizontal="right" vertical="center"/>
    </xf>
    <xf numFmtId="0" fontId="4" fillId="34" borderId="11" xfId="0" applyFont="1" applyFill="1" applyBorder="1" applyAlignment="1">
      <alignment vertical="center"/>
    </xf>
    <xf numFmtId="0" fontId="4" fillId="34" borderId="14" xfId="0" applyFont="1" applyFill="1" applyBorder="1" applyAlignment="1">
      <alignment vertical="center"/>
    </xf>
    <xf numFmtId="4" fontId="8" fillId="34" borderId="16" xfId="0" applyNumberFormat="1" applyFont="1" applyFill="1" applyBorder="1" applyAlignment="1">
      <alignment horizontal="center" vertical="center"/>
    </xf>
    <xf numFmtId="0" fontId="8" fillId="34" borderId="0" xfId="0" applyFont="1" applyFill="1" applyAlignment="1">
      <alignment vertical="center"/>
    </xf>
    <xf numFmtId="0" fontId="4" fillId="34" borderId="13" xfId="0" applyFont="1" applyFill="1" applyBorder="1" applyAlignment="1">
      <alignment horizontal="right" vertical="center"/>
    </xf>
    <xf numFmtId="0" fontId="13" fillId="34" borderId="13" xfId="0" applyFont="1" applyFill="1" applyBorder="1" applyAlignment="1">
      <alignment vertical="center"/>
    </xf>
    <xf numFmtId="0" fontId="13" fillId="34" borderId="11" xfId="0" applyFont="1" applyFill="1" applyBorder="1" applyAlignment="1">
      <alignment horizontal="left" vertical="center" wrapText="1"/>
    </xf>
    <xf numFmtId="0" fontId="4" fillId="34" borderId="10" xfId="0" applyFont="1" applyFill="1" applyBorder="1" applyAlignment="1">
      <alignment horizontal="center" vertical="center" wrapText="1"/>
    </xf>
    <xf numFmtId="2" fontId="4" fillId="34" borderId="0" xfId="0" applyNumberFormat="1" applyFont="1" applyFill="1" applyAlignment="1">
      <alignment horizontal="justify" vertical="center" wrapText="1"/>
    </xf>
    <xf numFmtId="0" fontId="13" fillId="34" borderId="10" xfId="0" applyFont="1" applyFill="1" applyBorder="1" applyAlignment="1">
      <alignment horizontal="left" vertical="center" wrapText="1"/>
    </xf>
    <xf numFmtId="0" fontId="4" fillId="34" borderId="11" xfId="0" applyFont="1" applyFill="1" applyBorder="1" applyAlignment="1">
      <alignment/>
    </xf>
    <xf numFmtId="2" fontId="13" fillId="34" borderId="11" xfId="0" applyNumberFormat="1" applyFont="1" applyFill="1" applyBorder="1" applyAlignment="1">
      <alignment horizontal="left" vertical="center" wrapText="1"/>
    </xf>
    <xf numFmtId="0" fontId="4" fillId="34" borderId="14" xfId="0" applyFont="1" applyFill="1" applyBorder="1" applyAlignment="1">
      <alignment/>
    </xf>
    <xf numFmtId="4" fontId="60" fillId="34"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2" fontId="60" fillId="34" borderId="11" xfId="0" applyNumberFormat="1" applyFont="1" applyFill="1" applyBorder="1" applyAlignment="1">
      <alignment horizontal="justify" vertical="center" wrapText="1"/>
    </xf>
    <xf numFmtId="0" fontId="13" fillId="34" borderId="15" xfId="0" applyFont="1" applyFill="1" applyBorder="1" applyAlignment="1">
      <alignment horizontal="left" vertical="center" wrapText="1"/>
    </xf>
    <xf numFmtId="2" fontId="4" fillId="34" borderId="12" xfId="0" applyNumberFormat="1" applyFont="1" applyFill="1" applyBorder="1" applyAlignment="1">
      <alignment horizontal="justify" vertical="center" wrapText="1"/>
    </xf>
    <xf numFmtId="4" fontId="4" fillId="34" borderId="12" xfId="0" applyNumberFormat="1" applyFont="1" applyFill="1" applyBorder="1" applyAlignment="1">
      <alignment horizontal="center" vertical="center"/>
    </xf>
    <xf numFmtId="3" fontId="4" fillId="34" borderId="15" xfId="0" applyNumberFormat="1" applyFont="1" applyFill="1" applyBorder="1" applyAlignment="1">
      <alignment vertical="center"/>
    </xf>
    <xf numFmtId="4" fontId="4" fillId="34" borderId="11" xfId="57" applyNumberFormat="1" applyFont="1" applyFill="1" applyBorder="1" applyAlignment="1">
      <alignment horizontal="center" vertical="center"/>
      <protection/>
    </xf>
    <xf numFmtId="3" fontId="4" fillId="34" borderId="20" xfId="0" applyNumberFormat="1" applyFont="1" applyFill="1" applyBorder="1" applyAlignment="1">
      <alignment horizontal="right" vertical="center"/>
    </xf>
    <xf numFmtId="0" fontId="4" fillId="34" borderId="15" xfId="0" applyFont="1" applyFill="1" applyBorder="1" applyAlignment="1">
      <alignment horizontal="justify" vertical="center" wrapText="1"/>
    </xf>
    <xf numFmtId="0" fontId="4" fillId="34" borderId="15" xfId="0" applyFont="1" applyFill="1" applyBorder="1" applyAlignment="1">
      <alignment horizontal="center" vertical="center"/>
    </xf>
    <xf numFmtId="4" fontId="4" fillId="34" borderId="15" xfId="0" applyNumberFormat="1" applyFont="1" applyFill="1" applyBorder="1" applyAlignment="1">
      <alignment horizontal="center" vertical="center"/>
    </xf>
    <xf numFmtId="3" fontId="4" fillId="34" borderId="15" xfId="0" applyNumberFormat="1" applyFont="1" applyFill="1" applyBorder="1" applyAlignment="1">
      <alignment horizontal="right" vertical="center"/>
    </xf>
    <xf numFmtId="4" fontId="60" fillId="34" borderId="10" xfId="0" applyNumberFormat="1" applyFont="1" applyFill="1" applyBorder="1" applyAlignment="1">
      <alignment horizontal="center" vertical="center" wrapText="1"/>
    </xf>
    <xf numFmtId="0" fontId="5" fillId="34" borderId="15" xfId="0" applyFont="1" applyFill="1" applyBorder="1" applyAlignment="1">
      <alignment horizontal="center" vertical="center"/>
    </xf>
    <xf numFmtId="0" fontId="4" fillId="34" borderId="15" xfId="0" applyFont="1" applyFill="1" applyBorder="1" applyAlignment="1">
      <alignment/>
    </xf>
    <xf numFmtId="2" fontId="8" fillId="34" borderId="11" xfId="0" applyNumberFormat="1" applyFont="1" applyFill="1" applyBorder="1" applyAlignment="1">
      <alignment horizontal="center" vertical="center" wrapText="1"/>
    </xf>
    <xf numFmtId="2" fontId="4" fillId="34" borderId="21" xfId="0" applyNumberFormat="1" applyFont="1" applyFill="1" applyBorder="1" applyAlignment="1">
      <alignment horizontal="justify" vertical="center" wrapText="1"/>
    </xf>
    <xf numFmtId="0" fontId="5" fillId="34" borderId="11" xfId="0" applyFont="1" applyFill="1" applyBorder="1" applyAlignment="1">
      <alignment horizontal="justify" vertical="center" wrapText="1"/>
    </xf>
    <xf numFmtId="0" fontId="5" fillId="34" borderId="11" xfId="0" applyFont="1" applyFill="1" applyBorder="1" applyAlignment="1">
      <alignment vertical="center"/>
    </xf>
    <xf numFmtId="0" fontId="4" fillId="34" borderId="17" xfId="0" applyFont="1" applyFill="1" applyBorder="1" applyAlignment="1">
      <alignment vertical="center"/>
    </xf>
    <xf numFmtId="0" fontId="13" fillId="34" borderId="11" xfId="0" applyFont="1" applyFill="1" applyBorder="1" applyAlignment="1">
      <alignment vertical="center" wrapText="1"/>
    </xf>
    <xf numFmtId="0" fontId="5" fillId="34" borderId="22" xfId="0" applyFont="1" applyFill="1" applyBorder="1" applyAlignment="1">
      <alignment vertical="center"/>
    </xf>
    <xf numFmtId="0" fontId="5" fillId="34" borderId="13" xfId="0" applyFont="1" applyFill="1" applyBorder="1" applyAlignment="1">
      <alignment horizontal="justify" vertical="center" wrapText="1"/>
    </xf>
    <xf numFmtId="0" fontId="4" fillId="34" borderId="13" xfId="0" applyFont="1" applyFill="1" applyBorder="1" applyAlignment="1">
      <alignment horizontal="center" vertical="center"/>
    </xf>
    <xf numFmtId="3" fontId="7" fillId="34" borderId="13" xfId="0" applyNumberFormat="1" applyFont="1" applyFill="1" applyBorder="1" applyAlignment="1">
      <alignment horizontal="right" vertical="center"/>
    </xf>
    <xf numFmtId="0" fontId="5" fillId="34" borderId="10" xfId="0" applyFont="1" applyFill="1" applyBorder="1" applyAlignment="1">
      <alignment horizontal="justify" vertical="center" wrapText="1"/>
    </xf>
    <xf numFmtId="2" fontId="4" fillId="34" borderId="11" xfId="0" applyNumberFormat="1" applyFont="1" applyFill="1" applyBorder="1" applyAlignment="1">
      <alignment horizontal="right" vertical="center"/>
    </xf>
    <xf numFmtId="4" fontId="4" fillId="34" borderId="0" xfId="0" applyNumberFormat="1" applyFont="1" applyFill="1" applyBorder="1" applyAlignment="1">
      <alignment horizontal="center" vertical="center"/>
    </xf>
    <xf numFmtId="0" fontId="4" fillId="34" borderId="0" xfId="0" applyFont="1" applyFill="1" applyBorder="1" applyAlignment="1">
      <alignment/>
    </xf>
    <xf numFmtId="0" fontId="63" fillId="34" borderId="11" xfId="0" applyFont="1" applyFill="1" applyBorder="1" applyAlignment="1">
      <alignment horizontal="center" vertical="center"/>
    </xf>
    <xf numFmtId="0" fontId="13" fillId="34" borderId="15" xfId="0" applyFont="1" applyFill="1" applyBorder="1" applyAlignment="1">
      <alignment horizontal="justify" vertical="center" wrapText="1"/>
    </xf>
    <xf numFmtId="2" fontId="8" fillId="34" borderId="0" xfId="0" applyNumberFormat="1" applyFont="1" applyFill="1" applyAlignment="1">
      <alignment horizontal="center" vertical="center" wrapText="1"/>
    </xf>
    <xf numFmtId="0" fontId="4" fillId="34" borderId="0" xfId="0" applyFont="1" applyFill="1" applyAlignment="1">
      <alignment horizontal="justify" vertical="center" wrapText="1"/>
    </xf>
    <xf numFmtId="4" fontId="4" fillId="34" borderId="0" xfId="0" applyNumberFormat="1" applyFont="1" applyFill="1" applyAlignment="1">
      <alignment horizontal="center" vertical="center"/>
    </xf>
    <xf numFmtId="0" fontId="5" fillId="34" borderId="0" xfId="0" applyFont="1" applyFill="1" applyAlignment="1">
      <alignment horizontal="center"/>
    </xf>
    <xf numFmtId="0" fontId="4" fillId="34" borderId="0" xfId="0" applyFont="1" applyFill="1" applyAlignment="1">
      <alignment horizontal="center"/>
    </xf>
    <xf numFmtId="0" fontId="13" fillId="34" borderId="0" xfId="0" applyFont="1" applyFill="1" applyAlignment="1">
      <alignment horizontal="left" vertical="center" wrapText="1"/>
    </xf>
    <xf numFmtId="0" fontId="17" fillId="34" borderId="0" xfId="0" applyFont="1" applyFill="1" applyBorder="1" applyAlignment="1">
      <alignment horizontal="left" vertical="center" wrapText="1"/>
    </xf>
    <xf numFmtId="0" fontId="13" fillId="34" borderId="13" xfId="0" applyFont="1" applyFill="1" applyBorder="1" applyAlignment="1">
      <alignment horizontal="justify" vertical="center" wrapText="1"/>
    </xf>
    <xf numFmtId="0" fontId="17" fillId="34" borderId="16" xfId="0" applyFont="1" applyFill="1" applyBorder="1" applyAlignment="1">
      <alignment horizontal="justify" vertical="center" wrapText="1"/>
    </xf>
    <xf numFmtId="0" fontId="13" fillId="34" borderId="16" xfId="0" applyFont="1" applyFill="1" applyBorder="1" applyAlignment="1">
      <alignment horizontal="justify" vertical="center" wrapText="1"/>
    </xf>
    <xf numFmtId="0" fontId="18" fillId="34" borderId="18" xfId="0" applyFont="1" applyFill="1" applyBorder="1" applyAlignment="1">
      <alignment vertical="center" wrapText="1"/>
    </xf>
    <xf numFmtId="0" fontId="13" fillId="34" borderId="18" xfId="0" applyFont="1" applyFill="1" applyBorder="1" applyAlignment="1">
      <alignment horizontal="justify" vertical="center" wrapText="1"/>
    </xf>
    <xf numFmtId="0" fontId="6" fillId="34" borderId="0" xfId="0" applyFont="1" applyFill="1" applyBorder="1" applyAlignment="1">
      <alignment horizontal="center" vertical="center"/>
    </xf>
    <xf numFmtId="0" fontId="5" fillId="34" borderId="0" xfId="0" applyFont="1" applyFill="1" applyAlignment="1">
      <alignment vertical="center"/>
    </xf>
    <xf numFmtId="0" fontId="5" fillId="34" borderId="14" xfId="0" applyFont="1" applyFill="1" applyBorder="1" applyAlignment="1">
      <alignment horizontal="center" vertical="center"/>
    </xf>
    <xf numFmtId="2" fontId="4" fillId="34" borderId="14" xfId="0" applyNumberFormat="1" applyFont="1" applyFill="1" applyBorder="1" applyAlignment="1">
      <alignment horizontal="justify" vertical="center" wrapText="1"/>
    </xf>
    <xf numFmtId="0" fontId="4" fillId="34" borderId="11" xfId="0" applyFont="1" applyFill="1" applyBorder="1" applyAlignment="1">
      <alignment horizontal="center" vertical="center" wrapText="1"/>
    </xf>
    <xf numFmtId="2" fontId="4" fillId="34" borderId="15" xfId="0" applyNumberFormat="1" applyFont="1" applyFill="1" applyBorder="1" applyAlignment="1">
      <alignment horizontal="center" vertical="center"/>
    </xf>
    <xf numFmtId="4" fontId="4" fillId="34" borderId="12" xfId="0" applyNumberFormat="1" applyFont="1" applyFill="1" applyBorder="1" applyAlignment="1">
      <alignment horizontal="center" vertical="center" wrapText="1"/>
    </xf>
    <xf numFmtId="0" fontId="4" fillId="34" borderId="12" xfId="0" applyFont="1" applyFill="1" applyBorder="1" applyAlignment="1">
      <alignment horizontal="center" vertical="center"/>
    </xf>
    <xf numFmtId="3" fontId="7" fillId="34" borderId="22" xfId="0" applyNumberFormat="1" applyFont="1" applyFill="1" applyBorder="1" applyAlignment="1">
      <alignment horizontal="right" vertical="center"/>
    </xf>
    <xf numFmtId="2" fontId="4" fillId="34" borderId="14" xfId="0" applyNumberFormat="1" applyFont="1" applyFill="1" applyBorder="1" applyAlignment="1">
      <alignment horizontal="center" vertical="center"/>
    </xf>
    <xf numFmtId="0" fontId="13" fillId="34" borderId="10" xfId="0" applyFont="1" applyFill="1" applyBorder="1" applyAlignment="1" quotePrefix="1">
      <alignment horizontal="justify" vertical="center" wrapText="1"/>
    </xf>
    <xf numFmtId="0" fontId="5" fillId="34" borderId="13" xfId="0" applyFont="1" applyFill="1" applyBorder="1" applyAlignment="1">
      <alignment horizontal="center" vertical="center"/>
    </xf>
    <xf numFmtId="0" fontId="13" fillId="34" borderId="23" xfId="0" applyFont="1" applyFill="1" applyBorder="1" applyAlignment="1">
      <alignment horizontal="justify" vertical="center" wrapText="1"/>
    </xf>
    <xf numFmtId="2" fontId="7" fillId="34" borderId="24" xfId="0" applyNumberFormat="1" applyFont="1" applyFill="1" applyBorder="1" applyAlignment="1">
      <alignment horizontal="center" vertical="center" wrapText="1"/>
    </xf>
    <xf numFmtId="0" fontId="5" fillId="34" borderId="23" xfId="0" applyFont="1" applyFill="1" applyBorder="1" applyAlignment="1">
      <alignment horizontal="center" vertical="center"/>
    </xf>
    <xf numFmtId="0" fontId="8" fillId="34" borderId="25" xfId="0" applyFont="1" applyFill="1" applyBorder="1" applyAlignment="1">
      <alignment horizontal="justify" vertical="center" wrapText="1"/>
    </xf>
    <xf numFmtId="0" fontId="8" fillId="34" borderId="25" xfId="0" applyFont="1" applyFill="1" applyBorder="1" applyAlignment="1">
      <alignment horizontal="center" vertical="center"/>
    </xf>
    <xf numFmtId="4" fontId="8" fillId="34" borderId="26" xfId="0" applyNumberFormat="1" applyFont="1" applyFill="1" applyBorder="1" applyAlignment="1">
      <alignment horizontal="center" vertical="center"/>
    </xf>
    <xf numFmtId="0" fontId="4" fillId="34" borderId="0" xfId="0" applyFont="1" applyFill="1" applyAlignment="1">
      <alignment horizontal="center" vertical="center"/>
    </xf>
    <xf numFmtId="3" fontId="4" fillId="34" borderId="0" xfId="0" applyNumberFormat="1" applyFont="1" applyFill="1" applyAlignment="1">
      <alignment horizontal="right" vertical="center"/>
    </xf>
    <xf numFmtId="3" fontId="0" fillId="34" borderId="0" xfId="0" applyNumberFormat="1" applyFont="1" applyFill="1" applyAlignment="1">
      <alignment/>
    </xf>
    <xf numFmtId="0" fontId="13" fillId="12" borderId="10" xfId="0" applyFont="1" applyFill="1" applyBorder="1" applyAlignment="1">
      <alignment horizontal="justify" vertical="center" wrapText="1"/>
    </xf>
    <xf numFmtId="3" fontId="13" fillId="34" borderId="18" xfId="0" applyNumberFormat="1" applyFont="1" applyFill="1" applyBorder="1" applyAlignment="1">
      <alignment horizontal="center" vertical="center"/>
    </xf>
    <xf numFmtId="0" fontId="4" fillId="34" borderId="0" xfId="0" applyFont="1" applyFill="1" applyBorder="1" applyAlignment="1">
      <alignment vertical="center"/>
    </xf>
    <xf numFmtId="0" fontId="13" fillId="12" borderId="10" xfId="0" applyFont="1" applyFill="1" applyBorder="1" applyAlignment="1">
      <alignment horizontal="left" vertical="center" wrapText="1"/>
    </xf>
    <xf numFmtId="3" fontId="13" fillId="34" borderId="0" xfId="0" applyNumberFormat="1" applyFont="1" applyFill="1" applyBorder="1" applyAlignment="1">
      <alignment vertical="center"/>
    </xf>
    <xf numFmtId="3" fontId="13" fillId="34" borderId="0" xfId="0" applyNumberFormat="1" applyFont="1" applyFill="1" applyAlignment="1">
      <alignment horizontal="left" vertical="center" wrapText="1"/>
    </xf>
    <xf numFmtId="2" fontId="4" fillId="34" borderId="11" xfId="0" applyNumberFormat="1" applyFont="1" applyFill="1" applyBorder="1" applyAlignment="1">
      <alignment horizontal="justify" vertical="center"/>
    </xf>
    <xf numFmtId="0" fontId="8" fillId="34" borderId="27" xfId="0" applyFont="1" applyFill="1" applyBorder="1" applyAlignment="1">
      <alignment horizontal="center" vertical="center"/>
    </xf>
    <xf numFmtId="3" fontId="8" fillId="34" borderId="27" xfId="0" applyNumberFormat="1" applyFont="1" applyFill="1" applyBorder="1" applyAlignment="1">
      <alignment horizontal="right" vertical="center"/>
    </xf>
    <xf numFmtId="0" fontId="8" fillId="34" borderId="27" xfId="0" applyFont="1" applyFill="1" applyBorder="1" applyAlignment="1">
      <alignment horizontal="left" vertical="center"/>
    </xf>
    <xf numFmtId="0" fontId="3" fillId="34" borderId="0" xfId="0" applyFont="1" applyFill="1" applyAlignment="1">
      <alignment horizontal="center"/>
    </xf>
    <xf numFmtId="3" fontId="3" fillId="34" borderId="0" xfId="0" applyNumberFormat="1" applyFont="1" applyFill="1" applyAlignment="1">
      <alignment horizontal="right"/>
    </xf>
    <xf numFmtId="0" fontId="3" fillId="34" borderId="0" xfId="0" applyFont="1" applyFill="1" applyAlignment="1">
      <alignment horizontal="left"/>
    </xf>
    <xf numFmtId="0" fontId="11" fillId="34" borderId="0" xfId="0" applyFont="1" applyFill="1" applyAlignment="1">
      <alignment horizontal="center"/>
    </xf>
    <xf numFmtId="0" fontId="3" fillId="34" borderId="0" xfId="0" applyFont="1" applyFill="1" applyAlignment="1">
      <alignment horizontal="center" vertical="center"/>
    </xf>
    <xf numFmtId="0" fontId="11" fillId="34" borderId="0" xfId="0" applyFont="1" applyFill="1" applyAlignment="1">
      <alignment horizontal="center" vertical="center"/>
    </xf>
    <xf numFmtId="3" fontId="3" fillId="34" borderId="0" xfId="0" applyNumberFormat="1" applyFont="1" applyFill="1" applyAlignment="1">
      <alignment horizontal="right" vertical="center"/>
    </xf>
    <xf numFmtId="0" fontId="3" fillId="34" borderId="0" xfId="0" applyFont="1" applyFill="1" applyAlignment="1">
      <alignment horizontal="left" vertical="center"/>
    </xf>
    <xf numFmtId="0" fontId="2" fillId="34" borderId="0" xfId="0" applyFont="1" applyFill="1" applyAlignment="1">
      <alignment horizontal="center" vertical="center"/>
    </xf>
    <xf numFmtId="0" fontId="6" fillId="34" borderId="0" xfId="0" applyFont="1" applyFill="1" applyAlignment="1">
      <alignment horizontal="center" vertical="center"/>
    </xf>
    <xf numFmtId="0" fontId="6" fillId="34" borderId="0" xfId="0" applyFont="1" applyFill="1" applyBorder="1" applyAlignment="1">
      <alignment horizontal="center" vertical="center"/>
    </xf>
    <xf numFmtId="3" fontId="6" fillId="34" borderId="0" xfId="0" applyNumberFormat="1" applyFont="1" applyFill="1" applyBorder="1" applyAlignment="1">
      <alignment horizontal="right" vertical="center"/>
    </xf>
    <xf numFmtId="0" fontId="6" fillId="34" borderId="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2047875</xdr:colOff>
      <xdr:row>2</xdr:row>
      <xdr:rowOff>19050</xdr:rowOff>
    </xdr:from>
    <xdr:to>
      <xdr:col>2</xdr:col>
      <xdr:colOff>542925</xdr:colOff>
      <xdr:row>2</xdr:row>
      <xdr:rowOff>19050</xdr:rowOff>
    </xdr:to>
    <xdr:sp>
      <xdr:nvSpPr>
        <xdr:cNvPr id="1" name="Straight Connector 3"/>
        <xdr:cNvSpPr>
          <a:spLocks/>
        </xdr:cNvSpPr>
      </xdr:nvSpPr>
      <xdr:spPr>
        <a:xfrm>
          <a:off x="2752725" y="447675"/>
          <a:ext cx="129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5</xdr:col>
      <xdr:colOff>619125</xdr:colOff>
      <xdr:row>2</xdr:row>
      <xdr:rowOff>0</xdr:rowOff>
    </xdr:from>
    <xdr:to>
      <xdr:col>7</xdr:col>
      <xdr:colOff>276225</xdr:colOff>
      <xdr:row>2</xdr:row>
      <xdr:rowOff>0</xdr:rowOff>
    </xdr:to>
    <xdr:sp>
      <xdr:nvSpPr>
        <xdr:cNvPr id="2" name="Straight Connector 4"/>
        <xdr:cNvSpPr>
          <a:spLocks/>
        </xdr:cNvSpPr>
      </xdr:nvSpPr>
      <xdr:spPr>
        <a:xfrm>
          <a:off x="9191625" y="428625"/>
          <a:ext cx="250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9"/>
  <sheetViews>
    <sheetView tabSelected="1" zoomScale="90" zoomScaleNormal="90" zoomScalePageLayoutView="0" workbookViewId="0" topLeftCell="A1432">
      <selection activeCell="A1445" sqref="A1445:IV1448"/>
    </sheetView>
  </sheetViews>
  <sheetFormatPr defaultColWidth="8.796875" defaultRowHeight="15"/>
  <cols>
    <col min="1" max="1" width="7.3984375" style="255" customWidth="1"/>
    <col min="2" max="2" width="29.3984375" style="252" customWidth="1"/>
    <col min="3" max="3" width="37" style="253" customWidth="1"/>
    <col min="4" max="4" width="7.59765625" style="256" customWidth="1"/>
    <col min="5" max="5" width="8.59765625" style="254" customWidth="1"/>
    <col min="6" max="6" width="12.69921875" style="68" customWidth="1"/>
    <col min="7" max="7" width="17.19921875" style="68" customWidth="1"/>
    <col min="8" max="8" width="25.19921875" style="257" customWidth="1"/>
    <col min="9" max="9" width="27" style="109" customWidth="1"/>
    <col min="10" max="10" width="12.09765625" style="47" bestFit="1" customWidth="1"/>
    <col min="11" max="16384" width="9" style="47" customWidth="1"/>
  </cols>
  <sheetData>
    <row r="1" spans="1:9" s="191" customFormat="1" ht="16.5">
      <c r="A1" s="303" t="s">
        <v>3</v>
      </c>
      <c r="B1" s="304"/>
      <c r="C1" s="303"/>
      <c r="D1" s="295" t="s">
        <v>0</v>
      </c>
      <c r="E1" s="295"/>
      <c r="F1" s="296"/>
      <c r="G1" s="295"/>
      <c r="H1" s="297"/>
      <c r="I1" s="109"/>
    </row>
    <row r="2" spans="1:9" s="191" customFormat="1" ht="17.25">
      <c r="A2" s="295" t="s">
        <v>6</v>
      </c>
      <c r="B2" s="298"/>
      <c r="C2" s="295"/>
      <c r="D2" s="295" t="s">
        <v>1</v>
      </c>
      <c r="E2" s="295"/>
      <c r="F2" s="296"/>
      <c r="G2" s="295"/>
      <c r="H2" s="297"/>
      <c r="I2" s="109"/>
    </row>
    <row r="3" spans="1:9" s="191" customFormat="1" ht="17.25">
      <c r="A3" s="295"/>
      <c r="B3" s="298"/>
      <c r="C3" s="192"/>
      <c r="D3" s="193"/>
      <c r="E3" s="194"/>
      <c r="F3" s="67"/>
      <c r="G3" s="67"/>
      <c r="H3" s="257"/>
      <c r="I3" s="109"/>
    </row>
    <row r="4" spans="1:8" ht="17.25">
      <c r="A4" s="299" t="s">
        <v>4</v>
      </c>
      <c r="B4" s="300"/>
      <c r="C4" s="299"/>
      <c r="D4" s="299"/>
      <c r="E4" s="299"/>
      <c r="F4" s="301"/>
      <c r="G4" s="299"/>
      <c r="H4" s="302"/>
    </row>
    <row r="5" spans="1:8" ht="17.25">
      <c r="A5" s="299" t="s">
        <v>15</v>
      </c>
      <c r="B5" s="300"/>
      <c r="C5" s="299"/>
      <c r="D5" s="299"/>
      <c r="E5" s="299"/>
      <c r="F5" s="301"/>
      <c r="G5" s="299"/>
      <c r="H5" s="302"/>
    </row>
    <row r="6" spans="1:8" ht="17.25">
      <c r="A6" s="299" t="s">
        <v>7</v>
      </c>
      <c r="B6" s="300"/>
      <c r="C6" s="299"/>
      <c r="D6" s="299"/>
      <c r="E6" s="299"/>
      <c r="F6" s="301"/>
      <c r="G6" s="299"/>
      <c r="H6" s="302"/>
    </row>
    <row r="7" spans="1:9" s="195" customFormat="1" ht="16.5">
      <c r="A7" s="305" t="s">
        <v>1189</v>
      </c>
      <c r="B7" s="305"/>
      <c r="C7" s="305"/>
      <c r="D7" s="305"/>
      <c r="E7" s="305"/>
      <c r="F7" s="306"/>
      <c r="G7" s="305"/>
      <c r="H7" s="307"/>
      <c r="I7" s="164"/>
    </row>
    <row r="8" spans="1:8" ht="17.25">
      <c r="A8" s="196"/>
      <c r="B8" s="197"/>
      <c r="C8" s="198"/>
      <c r="D8" s="264"/>
      <c r="E8" s="199"/>
      <c r="F8" s="108"/>
      <c r="G8" s="200"/>
      <c r="H8" s="258"/>
    </row>
    <row r="9" spans="1:9" s="71" customFormat="1" ht="31.5">
      <c r="A9" s="42" t="s">
        <v>8</v>
      </c>
      <c r="B9" s="201" t="s">
        <v>9</v>
      </c>
      <c r="C9" s="202" t="s">
        <v>10</v>
      </c>
      <c r="D9" s="42" t="s">
        <v>2</v>
      </c>
      <c r="E9" s="203" t="s">
        <v>12</v>
      </c>
      <c r="F9" s="204" t="s">
        <v>11</v>
      </c>
      <c r="G9" s="204" t="s">
        <v>13</v>
      </c>
      <c r="H9" s="205" t="s">
        <v>14</v>
      </c>
      <c r="I9" s="112"/>
    </row>
    <row r="10" spans="1:9" s="71" customFormat="1" ht="40.5" customHeight="1">
      <c r="A10" s="54">
        <v>1</v>
      </c>
      <c r="B10" s="55" t="s">
        <v>16</v>
      </c>
      <c r="C10" s="30" t="s">
        <v>603</v>
      </c>
      <c r="D10" s="64" t="s">
        <v>20</v>
      </c>
      <c r="E10" s="60">
        <v>25.4</v>
      </c>
      <c r="F10" s="134"/>
      <c r="G10" s="154"/>
      <c r="H10" s="259"/>
      <c r="I10" s="113"/>
    </row>
    <row r="11" spans="1:9" s="71" customFormat="1" ht="24.75" customHeight="1">
      <c r="A11" s="54"/>
      <c r="B11" s="62" t="s">
        <v>19</v>
      </c>
      <c r="C11" s="30" t="s">
        <v>195</v>
      </c>
      <c r="D11" s="64"/>
      <c r="E11" s="60"/>
      <c r="F11" s="125"/>
      <c r="G11" s="206"/>
      <c r="H11" s="105"/>
      <c r="I11" s="114"/>
    </row>
    <row r="12" spans="1:9" s="71" customFormat="1" ht="94.5">
      <c r="A12" s="54"/>
      <c r="B12" s="30" t="s">
        <v>508</v>
      </c>
      <c r="C12" s="30" t="s">
        <v>945</v>
      </c>
      <c r="D12" s="64" t="s">
        <v>20</v>
      </c>
      <c r="E12" s="60">
        <v>13.1</v>
      </c>
      <c r="F12" s="125">
        <v>3953000</v>
      </c>
      <c r="G12" s="125">
        <f>F12*E12</f>
        <v>51784300</v>
      </c>
      <c r="H12" s="105"/>
      <c r="I12" s="114"/>
    </row>
    <row r="13" spans="1:9" s="71" customFormat="1" ht="94.5">
      <c r="A13" s="54"/>
      <c r="B13" s="62"/>
      <c r="C13" s="30" t="s">
        <v>950</v>
      </c>
      <c r="D13" s="64" t="s">
        <v>20</v>
      </c>
      <c r="E13" s="60">
        <v>12.3</v>
      </c>
      <c r="F13" s="125">
        <v>3953000</v>
      </c>
      <c r="G13" s="125">
        <f>F13*E13</f>
        <v>48621900</v>
      </c>
      <c r="H13" s="105"/>
      <c r="I13" s="114"/>
    </row>
    <row r="14" spans="1:9" s="74" customFormat="1" ht="102" customHeight="1">
      <c r="A14" s="54"/>
      <c r="B14" s="207"/>
      <c r="C14" s="48" t="s">
        <v>178</v>
      </c>
      <c r="D14" s="64" t="s">
        <v>20</v>
      </c>
      <c r="E14" s="60">
        <f>6.2*6</f>
        <v>37.2</v>
      </c>
      <c r="F14" s="130">
        <f>3230000</f>
        <v>3230000</v>
      </c>
      <c r="G14" s="125">
        <f>F14*E14</f>
        <v>120156000.00000001</v>
      </c>
      <c r="H14" s="216"/>
      <c r="I14" s="109"/>
    </row>
    <row r="15" spans="1:9" s="74" customFormat="1" ht="24" customHeight="1">
      <c r="A15" s="54"/>
      <c r="B15" s="207"/>
      <c r="C15" s="29" t="s">
        <v>21</v>
      </c>
      <c r="D15" s="64" t="s">
        <v>20</v>
      </c>
      <c r="E15" s="84">
        <f>(6.2+6)*2.5</f>
        <v>30.5</v>
      </c>
      <c r="F15" s="125">
        <f>325000</f>
        <v>325000</v>
      </c>
      <c r="G15" s="125">
        <f>F15*E15</f>
        <v>9912500</v>
      </c>
      <c r="H15" s="105"/>
      <c r="I15" s="109"/>
    </row>
    <row r="16" spans="1:9" s="74" customFormat="1" ht="36.75" customHeight="1">
      <c r="A16" s="54"/>
      <c r="B16" s="208"/>
      <c r="C16" s="29" t="s">
        <v>176</v>
      </c>
      <c r="D16" s="64" t="s">
        <v>20</v>
      </c>
      <c r="E16" s="50">
        <f>6.2*3</f>
        <v>18.6</v>
      </c>
      <c r="F16" s="125">
        <f>736000</f>
        <v>736000</v>
      </c>
      <c r="G16" s="125">
        <f>F16*E16</f>
        <v>13689600.000000002</v>
      </c>
      <c r="H16" s="105"/>
      <c r="I16" s="109"/>
    </row>
    <row r="17" spans="1:11" s="149" customFormat="1" ht="15.75">
      <c r="A17" s="145"/>
      <c r="B17" s="43" t="s">
        <v>5</v>
      </c>
      <c r="C17" s="146"/>
      <c r="D17" s="147"/>
      <c r="E17" s="209"/>
      <c r="F17" s="148"/>
      <c r="G17" s="156">
        <f>SUM(G10:G16)</f>
        <v>244164300</v>
      </c>
      <c r="H17" s="260"/>
      <c r="I17" s="115"/>
      <c r="J17" s="210"/>
      <c r="K17" s="210"/>
    </row>
    <row r="18" spans="1:11" ht="36" customHeight="1">
      <c r="A18" s="54">
        <v>2</v>
      </c>
      <c r="B18" s="150" t="s">
        <v>22</v>
      </c>
      <c r="C18" s="30" t="s">
        <v>604</v>
      </c>
      <c r="D18" s="64" t="s">
        <v>20</v>
      </c>
      <c r="E18" s="151">
        <v>31</v>
      </c>
      <c r="F18" s="211"/>
      <c r="G18" s="211"/>
      <c r="H18" s="212"/>
      <c r="I18" s="112"/>
      <c r="J18" s="74"/>
      <c r="K18" s="74"/>
    </row>
    <row r="19" spans="1:11" ht="20.25" customHeight="1">
      <c r="A19" s="54"/>
      <c r="B19" s="69" t="s">
        <v>23</v>
      </c>
      <c r="C19" s="30" t="s">
        <v>195</v>
      </c>
      <c r="D19" s="64"/>
      <c r="E19" s="77"/>
      <c r="F19" s="130"/>
      <c r="G19" s="130"/>
      <c r="H19" s="213"/>
      <c r="I19" s="112"/>
      <c r="J19" s="74"/>
      <c r="K19" s="74"/>
    </row>
    <row r="20" spans="1:11" ht="63.75" customHeight="1">
      <c r="A20" s="54"/>
      <c r="B20" s="30" t="s">
        <v>749</v>
      </c>
      <c r="C20" s="48" t="s">
        <v>899</v>
      </c>
      <c r="D20" s="64" t="s">
        <v>20</v>
      </c>
      <c r="E20" s="60">
        <v>31</v>
      </c>
      <c r="F20" s="130">
        <v>12507500</v>
      </c>
      <c r="G20" s="130">
        <f>F20*E20</f>
        <v>387732500</v>
      </c>
      <c r="H20" s="213" t="s">
        <v>898</v>
      </c>
      <c r="I20" s="112"/>
      <c r="J20" s="74"/>
      <c r="K20" s="74"/>
    </row>
    <row r="21" spans="1:11" ht="180.75" customHeight="1">
      <c r="A21" s="54"/>
      <c r="B21" s="30" t="s">
        <v>24</v>
      </c>
      <c r="C21" s="48" t="s">
        <v>94</v>
      </c>
      <c r="D21" s="64" t="s">
        <v>20</v>
      </c>
      <c r="E21" s="77">
        <f>3*5.9</f>
        <v>17.700000000000003</v>
      </c>
      <c r="F21" s="130">
        <f>3230000-(3230000*8%)-150000-160000-(5%*3230000)</f>
        <v>2500100</v>
      </c>
      <c r="G21" s="130">
        <f>F21*E21</f>
        <v>44251770.00000001</v>
      </c>
      <c r="H21" s="213" t="s">
        <v>750</v>
      </c>
      <c r="I21" s="112"/>
      <c r="J21" s="74"/>
      <c r="K21" s="74"/>
    </row>
    <row r="22" spans="1:11" ht="18.75">
      <c r="A22" s="54"/>
      <c r="B22" s="30"/>
      <c r="C22" s="48" t="s">
        <v>25</v>
      </c>
      <c r="D22" s="64" t="s">
        <v>32</v>
      </c>
      <c r="E22" s="77">
        <f>9.5*2.5*0.2</f>
        <v>4.75</v>
      </c>
      <c r="F22" s="130">
        <f>1250000</f>
        <v>1250000</v>
      </c>
      <c r="G22" s="130">
        <f aca="true" t="shared" si="0" ref="G22:G35">F22*E22</f>
        <v>5937500</v>
      </c>
      <c r="H22" s="106"/>
      <c r="J22" s="74"/>
      <c r="K22" s="74"/>
    </row>
    <row r="23" spans="1:11" ht="18.75">
      <c r="A23" s="54"/>
      <c r="B23" s="207"/>
      <c r="C23" s="30" t="s">
        <v>26</v>
      </c>
      <c r="D23" s="64" t="s">
        <v>20</v>
      </c>
      <c r="E23" s="60">
        <f>9.5*2.5</f>
        <v>23.75</v>
      </c>
      <c r="F23" s="130">
        <v>82000</v>
      </c>
      <c r="G23" s="130">
        <f t="shared" si="0"/>
        <v>1947500</v>
      </c>
      <c r="H23" s="106"/>
      <c r="J23" s="74"/>
      <c r="K23" s="74"/>
    </row>
    <row r="24" spans="1:11" ht="18.75">
      <c r="A24" s="54"/>
      <c r="B24" s="207"/>
      <c r="C24" s="48" t="s">
        <v>27</v>
      </c>
      <c r="D24" s="64" t="s">
        <v>32</v>
      </c>
      <c r="E24" s="77">
        <f>(0.3*0.3*2.5)*2</f>
        <v>0.44999999999999996</v>
      </c>
      <c r="F24" s="130">
        <f>1854000</f>
        <v>1854000</v>
      </c>
      <c r="G24" s="130">
        <f t="shared" si="0"/>
        <v>834299.9999999999</v>
      </c>
      <c r="H24" s="106"/>
      <c r="J24" s="74"/>
      <c r="K24" s="74"/>
    </row>
    <row r="25" spans="1:11" ht="18.75">
      <c r="A25" s="54"/>
      <c r="B25" s="207"/>
      <c r="C25" s="48" t="s">
        <v>28</v>
      </c>
      <c r="D25" s="64" t="s">
        <v>20</v>
      </c>
      <c r="E25" s="60">
        <f>1.2*1.7</f>
        <v>2.04</v>
      </c>
      <c r="F25" s="130">
        <f>85000</f>
        <v>85000</v>
      </c>
      <c r="G25" s="130">
        <f t="shared" si="0"/>
        <v>173400</v>
      </c>
      <c r="H25" s="106" t="s">
        <v>187</v>
      </c>
      <c r="J25" s="74"/>
      <c r="K25" s="74"/>
    </row>
    <row r="26" spans="1:11" ht="18.75">
      <c r="A26" s="54"/>
      <c r="B26" s="30"/>
      <c r="C26" s="48" t="s">
        <v>29</v>
      </c>
      <c r="D26" s="64" t="s">
        <v>20</v>
      </c>
      <c r="E26" s="60">
        <f>(4*2.6)+(7.3*1.6)</f>
        <v>22.08</v>
      </c>
      <c r="F26" s="130">
        <v>125000</v>
      </c>
      <c r="G26" s="130">
        <f t="shared" si="0"/>
        <v>2760000</v>
      </c>
      <c r="H26" s="106"/>
      <c r="J26" s="74"/>
      <c r="K26" s="74"/>
    </row>
    <row r="27" spans="1:11" ht="18.75">
      <c r="A27" s="54"/>
      <c r="B27" s="30"/>
      <c r="C27" s="48" t="s">
        <v>30</v>
      </c>
      <c r="D27" s="64" t="s">
        <v>20</v>
      </c>
      <c r="E27" s="60">
        <f>1.2*5.8</f>
        <v>6.96</v>
      </c>
      <c r="F27" s="130">
        <v>240000</v>
      </c>
      <c r="G27" s="130">
        <f t="shared" si="0"/>
        <v>1670400</v>
      </c>
      <c r="H27" s="106"/>
      <c r="J27" s="74"/>
      <c r="K27" s="74"/>
    </row>
    <row r="28" spans="1:11" ht="70.5" customHeight="1">
      <c r="A28" s="54"/>
      <c r="B28" s="62"/>
      <c r="C28" s="29" t="s">
        <v>95</v>
      </c>
      <c r="D28" s="64" t="s">
        <v>20</v>
      </c>
      <c r="E28" s="50">
        <f>5.92*2</f>
        <v>11.84</v>
      </c>
      <c r="F28" s="125">
        <f>2450000+160000</f>
        <v>2610000</v>
      </c>
      <c r="G28" s="130">
        <f t="shared" si="0"/>
        <v>30902400</v>
      </c>
      <c r="H28" s="105" t="s">
        <v>751</v>
      </c>
      <c r="J28" s="74"/>
      <c r="K28" s="74"/>
    </row>
    <row r="29" spans="1:11" ht="34.5">
      <c r="A29" s="54"/>
      <c r="B29" s="62"/>
      <c r="C29" s="29" t="s">
        <v>206</v>
      </c>
      <c r="D29" s="214" t="s">
        <v>208</v>
      </c>
      <c r="E29" s="50">
        <f>((2*1.6)+(1.2*1.6)+((5.92*1.6)*2))</f>
        <v>24.064</v>
      </c>
      <c r="F29" s="125">
        <f>240000</f>
        <v>240000</v>
      </c>
      <c r="G29" s="130">
        <f t="shared" si="0"/>
        <v>5775360</v>
      </c>
      <c r="H29" s="105"/>
      <c r="J29" s="74"/>
      <c r="K29" s="74"/>
    </row>
    <row r="30" spans="1:11" ht="18.75">
      <c r="A30" s="54"/>
      <c r="B30" s="62"/>
      <c r="C30" s="29" t="s">
        <v>25</v>
      </c>
      <c r="D30" s="64" t="s">
        <v>32</v>
      </c>
      <c r="E30" s="50">
        <f>1.2*2.6*0.1</f>
        <v>0.31200000000000006</v>
      </c>
      <c r="F30" s="125">
        <f>1250000</f>
        <v>1250000</v>
      </c>
      <c r="G30" s="130">
        <f t="shared" si="0"/>
        <v>390000.00000000006</v>
      </c>
      <c r="H30" s="105"/>
      <c r="J30" s="74"/>
      <c r="K30" s="74"/>
    </row>
    <row r="31" spans="1:11" ht="15.75" customHeight="1">
      <c r="A31" s="54"/>
      <c r="B31" s="62"/>
      <c r="C31" s="29" t="s">
        <v>26</v>
      </c>
      <c r="D31" s="64" t="s">
        <v>20</v>
      </c>
      <c r="E31" s="50">
        <f>1.2*2.6</f>
        <v>3.12</v>
      </c>
      <c r="F31" s="130">
        <v>82000</v>
      </c>
      <c r="G31" s="130">
        <f t="shared" si="0"/>
        <v>255840</v>
      </c>
      <c r="H31" s="105"/>
      <c r="J31" s="74"/>
      <c r="K31" s="74"/>
    </row>
    <row r="32" spans="1:11" ht="15.75">
      <c r="A32" s="54"/>
      <c r="B32" s="62"/>
      <c r="C32" s="29" t="s">
        <v>836</v>
      </c>
      <c r="D32" s="64" t="s">
        <v>210</v>
      </c>
      <c r="E32" s="50">
        <v>80</v>
      </c>
      <c r="F32" s="125">
        <v>13640</v>
      </c>
      <c r="G32" s="130">
        <f t="shared" si="0"/>
        <v>1091200</v>
      </c>
      <c r="H32" s="105" t="s">
        <v>903</v>
      </c>
      <c r="J32" s="74"/>
      <c r="K32" s="74"/>
    </row>
    <row r="33" spans="1:11" ht="15.75">
      <c r="A33" s="54"/>
      <c r="B33" s="62"/>
      <c r="C33" s="29" t="s">
        <v>842</v>
      </c>
      <c r="D33" s="64" t="s">
        <v>210</v>
      </c>
      <c r="E33" s="50">
        <v>80</v>
      </c>
      <c r="F33" s="125">
        <v>25300</v>
      </c>
      <c r="G33" s="130">
        <f t="shared" si="0"/>
        <v>2024000</v>
      </c>
      <c r="H33" s="105" t="s">
        <v>903</v>
      </c>
      <c r="J33" s="74"/>
      <c r="K33" s="74"/>
    </row>
    <row r="34" spans="1:11" ht="15.75">
      <c r="A34" s="54"/>
      <c r="B34" s="30"/>
      <c r="C34" s="29" t="s">
        <v>872</v>
      </c>
      <c r="D34" s="64" t="s">
        <v>210</v>
      </c>
      <c r="E34" s="50">
        <v>80</v>
      </c>
      <c r="F34" s="125">
        <v>44770</v>
      </c>
      <c r="G34" s="130">
        <f t="shared" si="0"/>
        <v>3581600</v>
      </c>
      <c r="H34" s="105" t="s">
        <v>903</v>
      </c>
      <c r="J34" s="74"/>
      <c r="K34" s="74"/>
    </row>
    <row r="35" spans="1:11" ht="18.75">
      <c r="A35" s="54"/>
      <c r="B35" s="30"/>
      <c r="C35" s="29" t="s">
        <v>1006</v>
      </c>
      <c r="D35" s="64" t="s">
        <v>20</v>
      </c>
      <c r="E35" s="50">
        <v>2</v>
      </c>
      <c r="F35" s="125">
        <v>6000</v>
      </c>
      <c r="G35" s="155">
        <f t="shared" si="0"/>
        <v>12000</v>
      </c>
      <c r="H35" s="106"/>
      <c r="J35" s="74"/>
      <c r="K35" s="74"/>
    </row>
    <row r="36" spans="1:11" s="149" customFormat="1" ht="15.75">
      <c r="A36" s="145"/>
      <c r="B36" s="43" t="s">
        <v>5</v>
      </c>
      <c r="C36" s="146"/>
      <c r="D36" s="147"/>
      <c r="E36" s="209"/>
      <c r="F36" s="148"/>
      <c r="G36" s="156">
        <f>SUM(G19:G35)</f>
        <v>489339770</v>
      </c>
      <c r="H36" s="260"/>
      <c r="I36" s="115"/>
      <c r="J36" s="210"/>
      <c r="K36" s="210"/>
    </row>
    <row r="37" spans="1:11" ht="39" customHeight="1">
      <c r="A37" s="54">
        <v>3</v>
      </c>
      <c r="B37" s="150" t="s">
        <v>33</v>
      </c>
      <c r="C37" s="30" t="s">
        <v>605</v>
      </c>
      <c r="D37" s="64" t="s">
        <v>20</v>
      </c>
      <c r="E37" s="151">
        <v>1.5</v>
      </c>
      <c r="F37" s="211"/>
      <c r="G37" s="211"/>
      <c r="H37" s="259"/>
      <c r="J37" s="74"/>
      <c r="K37" s="74"/>
    </row>
    <row r="38" spans="1:11" ht="60" customHeight="1">
      <c r="A38" s="54"/>
      <c r="B38" s="30" t="s">
        <v>509</v>
      </c>
      <c r="C38" s="30" t="s">
        <v>195</v>
      </c>
      <c r="D38" s="64"/>
      <c r="E38" s="77"/>
      <c r="F38" s="130"/>
      <c r="G38" s="130"/>
      <c r="H38" s="106"/>
      <c r="J38" s="74"/>
      <c r="K38" s="74"/>
    </row>
    <row r="39" spans="1:11" ht="122.25" customHeight="1">
      <c r="A39" s="54"/>
      <c r="B39" s="62" t="s">
        <v>34</v>
      </c>
      <c r="C39" s="48" t="s">
        <v>942</v>
      </c>
      <c r="D39" s="64" t="s">
        <v>20</v>
      </c>
      <c r="E39" s="50">
        <v>1.5</v>
      </c>
      <c r="F39" s="125">
        <v>3953000</v>
      </c>
      <c r="G39" s="130">
        <f>F39*E39</f>
        <v>5929500</v>
      </c>
      <c r="H39" s="106"/>
      <c r="J39" s="74"/>
      <c r="K39" s="74"/>
    </row>
    <row r="40" spans="1:11" ht="41.25" customHeight="1">
      <c r="A40" s="54"/>
      <c r="B40" s="62"/>
      <c r="C40" s="48" t="s">
        <v>35</v>
      </c>
      <c r="D40" s="64" t="s">
        <v>20</v>
      </c>
      <c r="E40" s="77">
        <f>2*2</f>
        <v>4</v>
      </c>
      <c r="F40" s="130">
        <v>325000</v>
      </c>
      <c r="G40" s="130">
        <f>F40*E40</f>
        <v>1300000</v>
      </c>
      <c r="H40" s="106"/>
      <c r="J40" s="74"/>
      <c r="K40" s="74"/>
    </row>
    <row r="41" spans="1:11" ht="18.75">
      <c r="A41" s="61"/>
      <c r="B41" s="207"/>
      <c r="C41" s="30" t="s">
        <v>27</v>
      </c>
      <c r="D41" s="64" t="s">
        <v>32</v>
      </c>
      <c r="E41" s="60">
        <f>(0.3*0.3*2.2)*2</f>
        <v>0.396</v>
      </c>
      <c r="F41" s="130">
        <f>1854000</f>
        <v>1854000</v>
      </c>
      <c r="G41" s="130">
        <f aca="true" t="shared" si="1" ref="G41:G50">F41*E41</f>
        <v>734184</v>
      </c>
      <c r="H41" s="106"/>
      <c r="J41" s="74"/>
      <c r="K41" s="74"/>
    </row>
    <row r="42" spans="1:11" ht="18.75">
      <c r="A42" s="61"/>
      <c r="B42" s="207"/>
      <c r="C42" s="48" t="s">
        <v>28</v>
      </c>
      <c r="D42" s="64" t="s">
        <v>20</v>
      </c>
      <c r="E42" s="50">
        <f>1.2*2</f>
        <v>2.4</v>
      </c>
      <c r="F42" s="125">
        <f>85000</f>
        <v>85000</v>
      </c>
      <c r="G42" s="125">
        <f t="shared" si="1"/>
        <v>204000</v>
      </c>
      <c r="H42" s="105" t="s">
        <v>187</v>
      </c>
      <c r="J42" s="74"/>
      <c r="K42" s="74"/>
    </row>
    <row r="43" spans="1:11" ht="18.75">
      <c r="A43" s="140"/>
      <c r="B43" s="207"/>
      <c r="C43" s="29" t="s">
        <v>36</v>
      </c>
      <c r="D43" s="64" t="s">
        <v>20</v>
      </c>
      <c r="E43" s="50">
        <f>1.3*2.5</f>
        <v>3.25</v>
      </c>
      <c r="F43" s="125">
        <v>125000</v>
      </c>
      <c r="G43" s="125">
        <f t="shared" si="1"/>
        <v>406250</v>
      </c>
      <c r="H43" s="106"/>
      <c r="J43" s="74"/>
      <c r="K43" s="74"/>
    </row>
    <row r="44" spans="1:11" ht="31.5">
      <c r="A44" s="61"/>
      <c r="B44" s="30"/>
      <c r="C44" s="29" t="s">
        <v>47</v>
      </c>
      <c r="D44" s="64" t="s">
        <v>20</v>
      </c>
      <c r="E44" s="50">
        <f>3.3*4.5</f>
        <v>14.85</v>
      </c>
      <c r="F44" s="125">
        <v>498000</v>
      </c>
      <c r="G44" s="125">
        <f t="shared" si="1"/>
        <v>7395300</v>
      </c>
      <c r="H44" s="106"/>
      <c r="J44" s="74"/>
      <c r="K44" s="74"/>
    </row>
    <row r="45" spans="1:11" ht="15.75">
      <c r="A45" s="61"/>
      <c r="B45" s="62"/>
      <c r="C45" s="29" t="s">
        <v>872</v>
      </c>
      <c r="D45" s="64" t="s">
        <v>210</v>
      </c>
      <c r="E45" s="50">
        <v>3</v>
      </c>
      <c r="F45" s="125">
        <v>44770</v>
      </c>
      <c r="G45" s="125">
        <f t="shared" si="1"/>
        <v>134310</v>
      </c>
      <c r="H45" s="105" t="s">
        <v>903</v>
      </c>
      <c r="J45" s="74"/>
      <c r="K45" s="74"/>
    </row>
    <row r="46" spans="1:11" ht="15.75">
      <c r="A46" s="61"/>
      <c r="B46" s="62"/>
      <c r="C46" s="29" t="s">
        <v>873</v>
      </c>
      <c r="D46" s="64" t="s">
        <v>210</v>
      </c>
      <c r="E46" s="50">
        <v>3</v>
      </c>
      <c r="F46" s="125">
        <v>9680</v>
      </c>
      <c r="G46" s="125">
        <f t="shared" si="1"/>
        <v>29040</v>
      </c>
      <c r="H46" s="105" t="s">
        <v>903</v>
      </c>
      <c r="J46" s="74"/>
      <c r="K46" s="74"/>
    </row>
    <row r="47" spans="1:11" ht="18.75">
      <c r="A47" s="61"/>
      <c r="B47" s="62"/>
      <c r="C47" s="29" t="s">
        <v>177</v>
      </c>
      <c r="D47" s="49" t="s">
        <v>20</v>
      </c>
      <c r="E47" s="50">
        <v>0.5</v>
      </c>
      <c r="F47" s="125">
        <v>6000</v>
      </c>
      <c r="G47" s="125">
        <f t="shared" si="1"/>
        <v>3000</v>
      </c>
      <c r="H47" s="106"/>
      <c r="J47" s="74"/>
      <c r="K47" s="74"/>
    </row>
    <row r="48" spans="1:11" ht="15.75">
      <c r="A48" s="61"/>
      <c r="B48" s="62"/>
      <c r="C48" s="29" t="s">
        <v>827</v>
      </c>
      <c r="D48" s="49" t="s">
        <v>37</v>
      </c>
      <c r="E48" s="50">
        <v>6</v>
      </c>
      <c r="F48" s="125">
        <v>20000</v>
      </c>
      <c r="G48" s="125">
        <f t="shared" si="1"/>
        <v>120000</v>
      </c>
      <c r="H48" s="106" t="s">
        <v>187</v>
      </c>
      <c r="J48" s="74"/>
      <c r="K48" s="74"/>
    </row>
    <row r="49" spans="1:11" ht="15.75">
      <c r="A49" s="61"/>
      <c r="B49" s="62"/>
      <c r="C49" s="29" t="s">
        <v>828</v>
      </c>
      <c r="D49" s="49" t="s">
        <v>37</v>
      </c>
      <c r="E49" s="50">
        <v>1</v>
      </c>
      <c r="F49" s="125">
        <v>40000</v>
      </c>
      <c r="G49" s="125">
        <f t="shared" si="1"/>
        <v>40000</v>
      </c>
      <c r="H49" s="106" t="s">
        <v>187</v>
      </c>
      <c r="J49" s="74"/>
      <c r="K49" s="74"/>
    </row>
    <row r="50" spans="1:11" ht="15.75">
      <c r="A50" s="140"/>
      <c r="B50" s="215"/>
      <c r="C50" s="29" t="s">
        <v>829</v>
      </c>
      <c r="D50" s="49" t="s">
        <v>37</v>
      </c>
      <c r="E50" s="50">
        <v>2</v>
      </c>
      <c r="F50" s="125">
        <v>20000</v>
      </c>
      <c r="G50" s="125">
        <f t="shared" si="1"/>
        <v>40000</v>
      </c>
      <c r="H50" s="106" t="s">
        <v>187</v>
      </c>
      <c r="J50" s="74"/>
      <c r="K50" s="74"/>
    </row>
    <row r="51" spans="1:11" ht="15.75">
      <c r="A51" s="42"/>
      <c r="B51" s="43" t="s">
        <v>5</v>
      </c>
      <c r="C51" s="44"/>
      <c r="D51" s="45"/>
      <c r="E51" s="46"/>
      <c r="F51" s="133"/>
      <c r="G51" s="156">
        <f>SUM(G38:G50)</f>
        <v>16335584</v>
      </c>
      <c r="H51" s="261"/>
      <c r="J51" s="74"/>
      <c r="K51" s="74"/>
    </row>
    <row r="52" spans="1:11" ht="51" customHeight="1">
      <c r="A52" s="54">
        <v>4</v>
      </c>
      <c r="B52" s="55" t="s">
        <v>38</v>
      </c>
      <c r="C52" s="56" t="s">
        <v>606</v>
      </c>
      <c r="D52" s="49" t="s">
        <v>20</v>
      </c>
      <c r="E52" s="57">
        <v>109.7</v>
      </c>
      <c r="F52" s="125"/>
      <c r="G52" s="125"/>
      <c r="H52" s="216"/>
      <c r="J52" s="74"/>
      <c r="K52" s="74"/>
    </row>
    <row r="53" spans="1:11" ht="66.75" customHeight="1">
      <c r="A53" s="54"/>
      <c r="B53" s="30" t="s">
        <v>510</v>
      </c>
      <c r="C53" s="30" t="s">
        <v>195</v>
      </c>
      <c r="D53" s="49"/>
      <c r="E53" s="77"/>
      <c r="F53" s="125"/>
      <c r="G53" s="125"/>
      <c r="H53" s="216"/>
      <c r="J53" s="74"/>
      <c r="K53" s="74"/>
    </row>
    <row r="54" spans="1:11" ht="100.5" customHeight="1">
      <c r="A54" s="54"/>
      <c r="B54" s="30"/>
      <c r="C54" s="48" t="s">
        <v>784</v>
      </c>
      <c r="D54" s="49" t="s">
        <v>20</v>
      </c>
      <c r="E54" s="84">
        <v>109.7</v>
      </c>
      <c r="F54" s="125">
        <v>5003000</v>
      </c>
      <c r="G54" s="125">
        <f>F54*E54</f>
        <v>548829100</v>
      </c>
      <c r="H54" s="216"/>
      <c r="I54" s="112"/>
      <c r="J54" s="74"/>
      <c r="K54" s="74"/>
    </row>
    <row r="55" spans="1:11" ht="97.5" customHeight="1">
      <c r="A55" s="61"/>
      <c r="B55" s="62"/>
      <c r="C55" s="30" t="s">
        <v>179</v>
      </c>
      <c r="D55" s="49" t="s">
        <v>20</v>
      </c>
      <c r="E55" s="60">
        <f>4.8*14.3</f>
        <v>68.64</v>
      </c>
      <c r="F55" s="130">
        <f>3230000-(5%*3230000)</f>
        <v>3068500</v>
      </c>
      <c r="G55" s="125">
        <f aca="true" t="shared" si="2" ref="G55:G72">F55*E55</f>
        <v>210621840</v>
      </c>
      <c r="H55" s="213" t="s">
        <v>752</v>
      </c>
      <c r="J55" s="74"/>
      <c r="K55" s="74"/>
    </row>
    <row r="56" spans="1:11" ht="50.25" customHeight="1">
      <c r="A56" s="61"/>
      <c r="B56" s="217"/>
      <c r="C56" s="48" t="s">
        <v>96</v>
      </c>
      <c r="D56" s="49" t="s">
        <v>20</v>
      </c>
      <c r="E56" s="50">
        <f>2.6*1.6</f>
        <v>4.16</v>
      </c>
      <c r="F56" s="125">
        <f>2450000+160000</f>
        <v>2610000</v>
      </c>
      <c r="G56" s="125">
        <f t="shared" si="2"/>
        <v>10857600</v>
      </c>
      <c r="H56" s="105" t="s">
        <v>751</v>
      </c>
      <c r="J56" s="74"/>
      <c r="K56" s="74"/>
    </row>
    <row r="57" spans="1:11" ht="18.75">
      <c r="A57" s="61"/>
      <c r="B57" s="217"/>
      <c r="C57" s="29" t="s">
        <v>36</v>
      </c>
      <c r="D57" s="49" t="s">
        <v>20</v>
      </c>
      <c r="E57" s="50">
        <f>(4.2*2.7)+(3.5*5.5)</f>
        <v>30.590000000000003</v>
      </c>
      <c r="F57" s="125">
        <v>125000</v>
      </c>
      <c r="G57" s="125">
        <f t="shared" si="2"/>
        <v>3823750.0000000005</v>
      </c>
      <c r="H57" s="106"/>
      <c r="J57" s="74"/>
      <c r="K57" s="74"/>
    </row>
    <row r="58" spans="1:11" ht="31.5" customHeight="1">
      <c r="A58" s="61"/>
      <c r="B58" s="30"/>
      <c r="C58" s="29" t="s">
        <v>39</v>
      </c>
      <c r="D58" s="49" t="s">
        <v>20</v>
      </c>
      <c r="E58" s="50">
        <f>((1.6+5.7)*2)+((21.5+3.06+4.54+14.31+4.8)*1.5)</f>
        <v>86.91499999999999</v>
      </c>
      <c r="F58" s="125">
        <v>110000</v>
      </c>
      <c r="G58" s="125">
        <f t="shared" si="2"/>
        <v>9560650</v>
      </c>
      <c r="H58" s="106"/>
      <c r="J58" s="74"/>
      <c r="K58" s="74"/>
    </row>
    <row r="59" spans="1:11" ht="31.5">
      <c r="A59" s="61"/>
      <c r="B59" s="62"/>
      <c r="C59" s="29" t="s">
        <v>40</v>
      </c>
      <c r="D59" s="49" t="s">
        <v>20</v>
      </c>
      <c r="E59" s="50">
        <f>4.8*1.7</f>
        <v>8.16</v>
      </c>
      <c r="F59" s="125">
        <v>498000</v>
      </c>
      <c r="G59" s="125">
        <f t="shared" si="2"/>
        <v>4063680</v>
      </c>
      <c r="H59" s="106"/>
      <c r="J59" s="74"/>
      <c r="K59" s="74"/>
    </row>
    <row r="60" spans="1:11" ht="18.75">
      <c r="A60" s="61"/>
      <c r="B60" s="62"/>
      <c r="C60" s="29" t="s">
        <v>28</v>
      </c>
      <c r="D60" s="49" t="s">
        <v>20</v>
      </c>
      <c r="E60" s="50">
        <f>1.4*1.8</f>
        <v>2.52</v>
      </c>
      <c r="F60" s="125">
        <f>85000</f>
        <v>85000</v>
      </c>
      <c r="G60" s="125">
        <f t="shared" si="2"/>
        <v>214200</v>
      </c>
      <c r="H60" s="105" t="s">
        <v>187</v>
      </c>
      <c r="J60" s="74"/>
      <c r="K60" s="74"/>
    </row>
    <row r="61" spans="1:11" ht="18.75">
      <c r="A61" s="61"/>
      <c r="B61" s="62"/>
      <c r="C61" s="29" t="s">
        <v>27</v>
      </c>
      <c r="D61" s="49" t="s">
        <v>32</v>
      </c>
      <c r="E61" s="50">
        <f>(0.3*0.3*2)*2</f>
        <v>0.36</v>
      </c>
      <c r="F61" s="125">
        <f>1854000</f>
        <v>1854000</v>
      </c>
      <c r="G61" s="125">
        <f t="shared" si="2"/>
        <v>667440</v>
      </c>
      <c r="H61" s="106"/>
      <c r="J61" s="74"/>
      <c r="K61" s="74"/>
    </row>
    <row r="62" spans="1:11" ht="39" customHeight="1">
      <c r="A62" s="61"/>
      <c r="B62" s="62"/>
      <c r="C62" s="29" t="s">
        <v>35</v>
      </c>
      <c r="D62" s="49" t="s">
        <v>20</v>
      </c>
      <c r="E62" s="50">
        <f>(1.5+1.95)*2</f>
        <v>6.9</v>
      </c>
      <c r="F62" s="125">
        <v>325000</v>
      </c>
      <c r="G62" s="125">
        <f t="shared" si="2"/>
        <v>2242500</v>
      </c>
      <c r="H62" s="106"/>
      <c r="J62" s="74"/>
      <c r="K62" s="74"/>
    </row>
    <row r="63" spans="1:11" ht="18.75">
      <c r="A63" s="61"/>
      <c r="B63" s="62"/>
      <c r="C63" s="29" t="s">
        <v>25</v>
      </c>
      <c r="D63" s="49" t="s">
        <v>32</v>
      </c>
      <c r="E63" s="50">
        <f>5.2*2*0.1</f>
        <v>1.04</v>
      </c>
      <c r="F63" s="125">
        <f>1250000</f>
        <v>1250000</v>
      </c>
      <c r="G63" s="125">
        <f t="shared" si="2"/>
        <v>1300000</v>
      </c>
      <c r="H63" s="106"/>
      <c r="J63" s="74"/>
      <c r="K63" s="74"/>
    </row>
    <row r="64" spans="1:11" ht="15.75">
      <c r="A64" s="61"/>
      <c r="B64" s="30"/>
      <c r="C64" s="29" t="s">
        <v>41</v>
      </c>
      <c r="D64" s="64" t="s">
        <v>42</v>
      </c>
      <c r="E64" s="60">
        <v>1</v>
      </c>
      <c r="F64" s="125">
        <v>238000</v>
      </c>
      <c r="G64" s="125">
        <f t="shared" si="2"/>
        <v>238000</v>
      </c>
      <c r="H64" s="106"/>
      <c r="J64" s="74"/>
      <c r="K64" s="74"/>
    </row>
    <row r="65" spans="1:11" ht="15.75">
      <c r="A65" s="61"/>
      <c r="B65" s="30"/>
      <c r="C65" s="48" t="s">
        <v>1000</v>
      </c>
      <c r="D65" s="64" t="s">
        <v>43</v>
      </c>
      <c r="E65" s="60">
        <v>2</v>
      </c>
      <c r="F65" s="130">
        <v>600000</v>
      </c>
      <c r="G65" s="125">
        <f t="shared" si="2"/>
        <v>1200000</v>
      </c>
      <c r="H65" s="106"/>
      <c r="J65" s="74"/>
      <c r="K65" s="74"/>
    </row>
    <row r="66" spans="1:11" ht="15.75">
      <c r="A66" s="61"/>
      <c r="B66" s="30"/>
      <c r="C66" s="48" t="s">
        <v>874</v>
      </c>
      <c r="D66" s="64" t="s">
        <v>43</v>
      </c>
      <c r="E66" s="60">
        <v>2</v>
      </c>
      <c r="F66" s="130">
        <v>60000</v>
      </c>
      <c r="G66" s="125">
        <f t="shared" si="2"/>
        <v>120000</v>
      </c>
      <c r="H66" s="106"/>
      <c r="J66" s="74"/>
      <c r="K66" s="74"/>
    </row>
    <row r="67" spans="1:11" ht="15.75">
      <c r="A67" s="61"/>
      <c r="B67" s="30"/>
      <c r="C67" s="48" t="s">
        <v>828</v>
      </c>
      <c r="D67" s="64" t="s">
        <v>37</v>
      </c>
      <c r="E67" s="60">
        <v>1</v>
      </c>
      <c r="F67" s="130">
        <v>40000</v>
      </c>
      <c r="G67" s="125">
        <f t="shared" si="2"/>
        <v>40000</v>
      </c>
      <c r="H67" s="106" t="s">
        <v>187</v>
      </c>
      <c r="J67" s="74"/>
      <c r="K67" s="74"/>
    </row>
    <row r="68" spans="1:11" ht="15.75">
      <c r="A68" s="61"/>
      <c r="B68" s="30"/>
      <c r="C68" s="48" t="s">
        <v>827</v>
      </c>
      <c r="D68" s="64" t="s">
        <v>37</v>
      </c>
      <c r="E68" s="60">
        <v>5</v>
      </c>
      <c r="F68" s="125">
        <v>20000</v>
      </c>
      <c r="G68" s="125">
        <f t="shared" si="2"/>
        <v>100000</v>
      </c>
      <c r="H68" s="106" t="s">
        <v>187</v>
      </c>
      <c r="J68" s="74"/>
      <c r="K68" s="74"/>
    </row>
    <row r="69" spans="1:11" ht="15.75">
      <c r="A69" s="61"/>
      <c r="B69" s="30"/>
      <c r="C69" s="48" t="s">
        <v>829</v>
      </c>
      <c r="D69" s="64" t="s">
        <v>37</v>
      </c>
      <c r="E69" s="60">
        <v>6</v>
      </c>
      <c r="F69" s="125">
        <v>20000</v>
      </c>
      <c r="G69" s="125">
        <f t="shared" si="2"/>
        <v>120000</v>
      </c>
      <c r="H69" s="106" t="s">
        <v>187</v>
      </c>
      <c r="J69" s="74"/>
      <c r="K69" s="74"/>
    </row>
    <row r="70" spans="1:11" ht="15.75">
      <c r="A70" s="61"/>
      <c r="B70" s="30"/>
      <c r="C70" s="48" t="s">
        <v>830</v>
      </c>
      <c r="D70" s="64" t="s">
        <v>37</v>
      </c>
      <c r="E70" s="60">
        <v>7</v>
      </c>
      <c r="F70" s="125">
        <v>20000</v>
      </c>
      <c r="G70" s="125">
        <f t="shared" si="2"/>
        <v>140000</v>
      </c>
      <c r="H70" s="106" t="s">
        <v>187</v>
      </c>
      <c r="J70" s="74"/>
      <c r="K70" s="74"/>
    </row>
    <row r="71" spans="1:11" ht="15.75">
      <c r="A71" s="61"/>
      <c r="B71" s="30"/>
      <c r="C71" s="48" t="s">
        <v>831</v>
      </c>
      <c r="D71" s="64" t="s">
        <v>37</v>
      </c>
      <c r="E71" s="60">
        <v>10</v>
      </c>
      <c r="F71" s="130">
        <v>10000</v>
      </c>
      <c r="G71" s="125">
        <f t="shared" si="2"/>
        <v>100000</v>
      </c>
      <c r="H71" s="106" t="s">
        <v>187</v>
      </c>
      <c r="J71" s="74"/>
      <c r="K71" s="74"/>
    </row>
    <row r="72" spans="1:11" ht="15.75">
      <c r="A72" s="61"/>
      <c r="B72" s="30"/>
      <c r="C72" s="48" t="s">
        <v>1007</v>
      </c>
      <c r="D72" s="64" t="s">
        <v>43</v>
      </c>
      <c r="E72" s="60">
        <v>1</v>
      </c>
      <c r="F72" s="130">
        <v>240000</v>
      </c>
      <c r="G72" s="125">
        <f t="shared" si="2"/>
        <v>240000</v>
      </c>
      <c r="H72" s="106"/>
      <c r="J72" s="74"/>
      <c r="K72" s="74"/>
    </row>
    <row r="73" spans="1:11" ht="15.75">
      <c r="A73" s="42"/>
      <c r="B73" s="43" t="s">
        <v>5</v>
      </c>
      <c r="C73" s="44"/>
      <c r="D73" s="45"/>
      <c r="E73" s="46"/>
      <c r="F73" s="133"/>
      <c r="G73" s="156">
        <f>SUM(G52:G72)</f>
        <v>794478760</v>
      </c>
      <c r="H73" s="261"/>
      <c r="J73" s="74"/>
      <c r="K73" s="74"/>
    </row>
    <row r="74" spans="1:11" ht="40.5" customHeight="1">
      <c r="A74" s="54">
        <v>5</v>
      </c>
      <c r="B74" s="55" t="s">
        <v>44</v>
      </c>
      <c r="C74" s="56" t="s">
        <v>607</v>
      </c>
      <c r="D74" s="49" t="s">
        <v>20</v>
      </c>
      <c r="E74" s="57">
        <v>156.8</v>
      </c>
      <c r="F74" s="125"/>
      <c r="G74" s="125"/>
      <c r="H74" s="105"/>
      <c r="J74" s="74"/>
      <c r="K74" s="74"/>
    </row>
    <row r="75" spans="1:11" ht="24.75" customHeight="1">
      <c r="A75" s="54"/>
      <c r="B75" s="62" t="s">
        <v>46</v>
      </c>
      <c r="C75" s="30" t="s">
        <v>195</v>
      </c>
      <c r="D75" s="49"/>
      <c r="E75" s="84"/>
      <c r="F75" s="125"/>
      <c r="G75" s="125"/>
      <c r="H75" s="105"/>
      <c r="J75" s="74"/>
      <c r="K75" s="74"/>
    </row>
    <row r="76" spans="1:11" ht="137.25" customHeight="1">
      <c r="A76" s="54"/>
      <c r="B76" s="30" t="s">
        <v>511</v>
      </c>
      <c r="C76" s="48" t="s">
        <v>938</v>
      </c>
      <c r="D76" s="49" t="s">
        <v>20</v>
      </c>
      <c r="E76" s="84">
        <v>156.8</v>
      </c>
      <c r="F76" s="125">
        <v>4420000</v>
      </c>
      <c r="G76" s="125">
        <f>F76*E76</f>
        <v>693056000</v>
      </c>
      <c r="H76" s="105"/>
      <c r="I76" s="262"/>
      <c r="J76" s="74"/>
      <c r="K76" s="74"/>
    </row>
    <row r="77" spans="1:11" ht="114" customHeight="1">
      <c r="A77" s="61"/>
      <c r="B77" s="62" t="s">
        <v>45</v>
      </c>
      <c r="C77" s="30" t="s">
        <v>180</v>
      </c>
      <c r="D77" s="49" t="s">
        <v>20</v>
      </c>
      <c r="E77" s="60">
        <f>(7.4*3)+(13.1*5.7)</f>
        <v>96.87</v>
      </c>
      <c r="F77" s="130">
        <f>3230000-(8%*3230000)</f>
        <v>2971600</v>
      </c>
      <c r="G77" s="125">
        <f>F77*E77</f>
        <v>287858892</v>
      </c>
      <c r="H77" s="213" t="s">
        <v>753</v>
      </c>
      <c r="J77" s="74"/>
      <c r="K77" s="74"/>
    </row>
    <row r="78" spans="1:11" ht="31.5">
      <c r="A78" s="61"/>
      <c r="B78" s="62"/>
      <c r="C78" s="29" t="s">
        <v>47</v>
      </c>
      <c r="D78" s="49" t="s">
        <v>20</v>
      </c>
      <c r="E78" s="50">
        <f>(8.8*4.14)+(3*5.7)</f>
        <v>53.532000000000004</v>
      </c>
      <c r="F78" s="125">
        <v>498000</v>
      </c>
      <c r="G78" s="125">
        <f aca="true" t="shared" si="3" ref="G78:G95">F78*E78</f>
        <v>26658936</v>
      </c>
      <c r="H78" s="106"/>
      <c r="J78" s="74"/>
      <c r="K78" s="74"/>
    </row>
    <row r="79" spans="1:11" ht="18.75">
      <c r="A79" s="61"/>
      <c r="B79" s="62"/>
      <c r="C79" s="29" t="s">
        <v>36</v>
      </c>
      <c r="D79" s="49" t="s">
        <v>20</v>
      </c>
      <c r="E79" s="50">
        <f>3.6*4.14</f>
        <v>14.904</v>
      </c>
      <c r="F79" s="125">
        <v>125000</v>
      </c>
      <c r="G79" s="125">
        <f t="shared" si="3"/>
        <v>1863000</v>
      </c>
      <c r="H79" s="106"/>
      <c r="J79" s="74"/>
      <c r="K79" s="74"/>
    </row>
    <row r="80" spans="1:11" ht="31.5">
      <c r="A80" s="61"/>
      <c r="B80" s="62"/>
      <c r="C80" s="29" t="s">
        <v>48</v>
      </c>
      <c r="D80" s="49" t="s">
        <v>20</v>
      </c>
      <c r="E80" s="50">
        <f>(13.1*2.5)+(4.5*2.5)</f>
        <v>44</v>
      </c>
      <c r="F80" s="125">
        <v>325000</v>
      </c>
      <c r="G80" s="125">
        <f t="shared" si="3"/>
        <v>14300000</v>
      </c>
      <c r="H80" s="106"/>
      <c r="J80" s="74"/>
      <c r="K80" s="74"/>
    </row>
    <row r="81" spans="1:11" ht="18.75">
      <c r="A81" s="61"/>
      <c r="B81" s="62"/>
      <c r="C81" s="29" t="s">
        <v>28</v>
      </c>
      <c r="D81" s="49" t="s">
        <v>20</v>
      </c>
      <c r="E81" s="50">
        <f>2.7*2</f>
        <v>5.4</v>
      </c>
      <c r="F81" s="125">
        <v>85000</v>
      </c>
      <c r="G81" s="125">
        <f t="shared" si="3"/>
        <v>459000.00000000006</v>
      </c>
      <c r="H81" s="105" t="s">
        <v>187</v>
      </c>
      <c r="J81" s="74"/>
      <c r="K81" s="74"/>
    </row>
    <row r="82" spans="1:11" ht="18.75">
      <c r="A82" s="61"/>
      <c r="B82" s="62"/>
      <c r="C82" s="29" t="s">
        <v>27</v>
      </c>
      <c r="D82" s="49" t="s">
        <v>32</v>
      </c>
      <c r="E82" s="50">
        <f>(0.3*0.3*2.8)*2</f>
        <v>0.504</v>
      </c>
      <c r="F82" s="125">
        <f>1854000</f>
        <v>1854000</v>
      </c>
      <c r="G82" s="125">
        <f t="shared" si="3"/>
        <v>934416</v>
      </c>
      <c r="H82" s="106"/>
      <c r="J82" s="74"/>
      <c r="K82" s="74"/>
    </row>
    <row r="83" spans="1:11" ht="15.75">
      <c r="A83" s="61"/>
      <c r="B83" s="62"/>
      <c r="C83" s="29" t="s">
        <v>832</v>
      </c>
      <c r="D83" s="49" t="s">
        <v>37</v>
      </c>
      <c r="E83" s="50">
        <v>3</v>
      </c>
      <c r="F83" s="125">
        <v>40000</v>
      </c>
      <c r="G83" s="125">
        <f t="shared" si="3"/>
        <v>120000</v>
      </c>
      <c r="H83" s="106" t="s">
        <v>187</v>
      </c>
      <c r="J83" s="74"/>
      <c r="K83" s="74"/>
    </row>
    <row r="84" spans="1:11" ht="15.75">
      <c r="A84" s="61"/>
      <c r="B84" s="62"/>
      <c r="C84" s="29" t="s">
        <v>828</v>
      </c>
      <c r="D84" s="49" t="s">
        <v>37</v>
      </c>
      <c r="E84" s="50">
        <v>3</v>
      </c>
      <c r="F84" s="125">
        <v>40000</v>
      </c>
      <c r="G84" s="125">
        <f t="shared" si="3"/>
        <v>120000</v>
      </c>
      <c r="H84" s="106" t="s">
        <v>187</v>
      </c>
      <c r="J84" s="74"/>
      <c r="K84" s="74"/>
    </row>
    <row r="85" spans="1:11" ht="15.75">
      <c r="A85" s="61"/>
      <c r="B85" s="62"/>
      <c r="C85" s="29" t="s">
        <v>833</v>
      </c>
      <c r="D85" s="49" t="s">
        <v>37</v>
      </c>
      <c r="E85" s="50">
        <v>8</v>
      </c>
      <c r="F85" s="125">
        <v>20000</v>
      </c>
      <c r="G85" s="125">
        <f t="shared" si="3"/>
        <v>160000</v>
      </c>
      <c r="H85" s="106" t="s">
        <v>187</v>
      </c>
      <c r="J85" s="74"/>
      <c r="K85" s="74"/>
    </row>
    <row r="86" spans="1:11" ht="15.75">
      <c r="A86" s="61"/>
      <c r="B86" s="62"/>
      <c r="C86" s="29" t="s">
        <v>829</v>
      </c>
      <c r="D86" s="49" t="s">
        <v>37</v>
      </c>
      <c r="E86" s="50">
        <v>25</v>
      </c>
      <c r="F86" s="125">
        <v>20000</v>
      </c>
      <c r="G86" s="125">
        <f t="shared" si="3"/>
        <v>500000</v>
      </c>
      <c r="H86" s="106" t="s">
        <v>187</v>
      </c>
      <c r="J86" s="74"/>
      <c r="K86" s="74"/>
    </row>
    <row r="87" spans="1:11" ht="15.75">
      <c r="A87" s="61"/>
      <c r="B87" s="62"/>
      <c r="C87" s="29" t="s">
        <v>827</v>
      </c>
      <c r="D87" s="49" t="s">
        <v>37</v>
      </c>
      <c r="E87" s="50">
        <v>5</v>
      </c>
      <c r="F87" s="125">
        <v>20000</v>
      </c>
      <c r="G87" s="125">
        <f t="shared" si="3"/>
        <v>100000</v>
      </c>
      <c r="H87" s="106" t="s">
        <v>187</v>
      </c>
      <c r="J87" s="74"/>
      <c r="K87" s="74"/>
    </row>
    <row r="88" spans="1:11" ht="15.75">
      <c r="A88" s="61"/>
      <c r="B88" s="62"/>
      <c r="C88" s="29" t="s">
        <v>830</v>
      </c>
      <c r="D88" s="49" t="s">
        <v>37</v>
      </c>
      <c r="E88" s="50">
        <v>4</v>
      </c>
      <c r="F88" s="125">
        <v>20000</v>
      </c>
      <c r="G88" s="125">
        <f t="shared" si="3"/>
        <v>80000</v>
      </c>
      <c r="H88" s="106" t="s">
        <v>187</v>
      </c>
      <c r="J88" s="74"/>
      <c r="K88" s="74"/>
    </row>
    <row r="89" spans="1:11" ht="15.75">
      <c r="A89" s="61"/>
      <c r="B89" s="62"/>
      <c r="C89" s="29" t="s">
        <v>831</v>
      </c>
      <c r="D89" s="49" t="s">
        <v>37</v>
      </c>
      <c r="E89" s="50">
        <v>8</v>
      </c>
      <c r="F89" s="125">
        <v>10000</v>
      </c>
      <c r="G89" s="125">
        <f t="shared" si="3"/>
        <v>80000</v>
      </c>
      <c r="H89" s="106" t="s">
        <v>187</v>
      </c>
      <c r="J89" s="74"/>
      <c r="K89" s="74"/>
    </row>
    <row r="90" spans="1:11" ht="18.75">
      <c r="A90" s="61"/>
      <c r="B90" s="62"/>
      <c r="C90" s="29" t="s">
        <v>49</v>
      </c>
      <c r="D90" s="49" t="s">
        <v>20</v>
      </c>
      <c r="E90" s="50">
        <v>2</v>
      </c>
      <c r="F90" s="125">
        <v>65000</v>
      </c>
      <c r="G90" s="125">
        <f t="shared" si="3"/>
        <v>130000</v>
      </c>
      <c r="H90" s="106"/>
      <c r="J90" s="74"/>
      <c r="K90" s="74"/>
    </row>
    <row r="91" spans="1:11" ht="15.75">
      <c r="A91" s="61"/>
      <c r="B91" s="62"/>
      <c r="C91" s="29" t="s">
        <v>1008</v>
      </c>
      <c r="D91" s="49" t="s">
        <v>43</v>
      </c>
      <c r="E91" s="50">
        <v>1</v>
      </c>
      <c r="F91" s="125">
        <v>80000</v>
      </c>
      <c r="G91" s="125">
        <f>F91*E91</f>
        <v>80000</v>
      </c>
      <c r="H91" s="106"/>
      <c r="J91" s="74"/>
      <c r="K91" s="74"/>
    </row>
    <row r="92" spans="1:11" ht="15.75">
      <c r="A92" s="61"/>
      <c r="B92" s="62"/>
      <c r="C92" s="29" t="s">
        <v>1003</v>
      </c>
      <c r="D92" s="49" t="s">
        <v>43</v>
      </c>
      <c r="E92" s="50">
        <v>1</v>
      </c>
      <c r="F92" s="125">
        <v>300000</v>
      </c>
      <c r="G92" s="125">
        <f t="shared" si="3"/>
        <v>300000</v>
      </c>
      <c r="H92" s="106"/>
      <c r="J92" s="74"/>
      <c r="K92" s="74"/>
    </row>
    <row r="93" spans="1:11" ht="15.75">
      <c r="A93" s="61"/>
      <c r="B93" s="62"/>
      <c r="C93" s="29" t="s">
        <v>1009</v>
      </c>
      <c r="D93" s="49" t="s">
        <v>43</v>
      </c>
      <c r="E93" s="50">
        <v>1</v>
      </c>
      <c r="F93" s="125">
        <v>160000</v>
      </c>
      <c r="G93" s="125">
        <f t="shared" si="3"/>
        <v>160000</v>
      </c>
      <c r="H93" s="106"/>
      <c r="J93" s="74"/>
      <c r="K93" s="74"/>
    </row>
    <row r="94" spans="1:11" ht="15.75">
      <c r="A94" s="61"/>
      <c r="B94" s="62"/>
      <c r="C94" s="29" t="s">
        <v>1010</v>
      </c>
      <c r="D94" s="49" t="s">
        <v>43</v>
      </c>
      <c r="E94" s="50">
        <v>4</v>
      </c>
      <c r="F94" s="125">
        <v>60000</v>
      </c>
      <c r="G94" s="125">
        <f t="shared" si="3"/>
        <v>240000</v>
      </c>
      <c r="H94" s="106"/>
      <c r="J94" s="74"/>
      <c r="K94" s="74"/>
    </row>
    <row r="95" spans="1:11" ht="15.75">
      <c r="A95" s="61"/>
      <c r="B95" s="62"/>
      <c r="C95" s="29" t="s">
        <v>1011</v>
      </c>
      <c r="D95" s="49" t="s">
        <v>43</v>
      </c>
      <c r="E95" s="50">
        <v>1</v>
      </c>
      <c r="F95" s="125">
        <v>100000</v>
      </c>
      <c r="G95" s="125">
        <f t="shared" si="3"/>
        <v>100000</v>
      </c>
      <c r="H95" s="106"/>
      <c r="J95" s="74"/>
      <c r="K95" s="74"/>
    </row>
    <row r="96" spans="1:11" ht="15.75">
      <c r="A96" s="42"/>
      <c r="B96" s="43" t="s">
        <v>5</v>
      </c>
      <c r="C96" s="44"/>
      <c r="D96" s="45"/>
      <c r="E96" s="46"/>
      <c r="F96" s="133"/>
      <c r="G96" s="156">
        <f>SUM(G74:G95)</f>
        <v>1027300244</v>
      </c>
      <c r="H96" s="261"/>
      <c r="J96" s="74"/>
      <c r="K96" s="74"/>
    </row>
    <row r="97" spans="1:11" ht="34.5" customHeight="1">
      <c r="A97" s="54">
        <v>6</v>
      </c>
      <c r="B97" s="55" t="s">
        <v>50</v>
      </c>
      <c r="C97" s="56" t="s">
        <v>608</v>
      </c>
      <c r="D97" s="49" t="s">
        <v>20</v>
      </c>
      <c r="E97" s="57">
        <v>67.1</v>
      </c>
      <c r="F97" s="125"/>
      <c r="G97" s="125"/>
      <c r="H97" s="105"/>
      <c r="J97" s="74"/>
      <c r="K97" s="74"/>
    </row>
    <row r="98" spans="1:11" ht="23.25" customHeight="1">
      <c r="A98" s="54"/>
      <c r="B98" s="62" t="s">
        <v>52</v>
      </c>
      <c r="C98" s="29" t="s">
        <v>195</v>
      </c>
      <c r="D98" s="49"/>
      <c r="E98" s="84"/>
      <c r="F98" s="125"/>
      <c r="G98" s="125"/>
      <c r="H98" s="105"/>
      <c r="J98" s="74"/>
      <c r="K98" s="74"/>
    </row>
    <row r="99" spans="1:11" ht="94.5">
      <c r="A99" s="54"/>
      <c r="B99" s="30" t="s">
        <v>512</v>
      </c>
      <c r="C99" s="48" t="s">
        <v>942</v>
      </c>
      <c r="D99" s="49" t="s">
        <v>20</v>
      </c>
      <c r="E99" s="84">
        <v>67.1</v>
      </c>
      <c r="F99" s="125">
        <v>3953000</v>
      </c>
      <c r="G99" s="125">
        <f>F99*E99</f>
        <v>265246299.99999997</v>
      </c>
      <c r="H99" s="105"/>
      <c r="J99" s="74"/>
      <c r="K99" s="74"/>
    </row>
    <row r="100" spans="1:11" ht="122.25" customHeight="1">
      <c r="A100" s="61"/>
      <c r="B100" s="62" t="s">
        <v>51</v>
      </c>
      <c r="C100" s="30" t="s">
        <v>181</v>
      </c>
      <c r="D100" s="49" t="s">
        <v>20</v>
      </c>
      <c r="E100" s="60">
        <f>4.37*9.58</f>
        <v>41.8646</v>
      </c>
      <c r="F100" s="130">
        <f>3230000-(8%*3230000)-(5%*3230000)</f>
        <v>2810100</v>
      </c>
      <c r="G100" s="125">
        <f>F100*E100</f>
        <v>117643712.46000001</v>
      </c>
      <c r="H100" s="218" t="s">
        <v>754</v>
      </c>
      <c r="J100" s="74"/>
      <c r="K100" s="74"/>
    </row>
    <row r="101" spans="1:11" ht="159" customHeight="1">
      <c r="A101" s="61"/>
      <c r="B101" s="217"/>
      <c r="C101" s="30" t="s">
        <v>97</v>
      </c>
      <c r="D101" s="49" t="s">
        <v>20</v>
      </c>
      <c r="E101" s="50">
        <f>((4.37+2.5)*3.45)/2</f>
        <v>11.850750000000001</v>
      </c>
      <c r="F101" s="125">
        <f>3230000-(8%*3230000)-150000-(5%*3230000)</f>
        <v>2660100</v>
      </c>
      <c r="G101" s="125">
        <f aca="true" t="shared" si="4" ref="G101:G114">F101*E101</f>
        <v>31524180.075000003</v>
      </c>
      <c r="H101" s="216" t="s">
        <v>755</v>
      </c>
      <c r="J101" s="74"/>
      <c r="K101" s="74"/>
    </row>
    <row r="102" spans="1:11" ht="68.25" customHeight="1">
      <c r="A102" s="61"/>
      <c r="B102" s="217"/>
      <c r="C102" s="29" t="s">
        <v>98</v>
      </c>
      <c r="D102" s="49" t="s">
        <v>20</v>
      </c>
      <c r="E102" s="50">
        <f>2.6*1.3</f>
        <v>3.3800000000000003</v>
      </c>
      <c r="F102" s="125">
        <f>2450000+160000</f>
        <v>2610000</v>
      </c>
      <c r="G102" s="125">
        <f t="shared" si="4"/>
        <v>8821800</v>
      </c>
      <c r="H102" s="105" t="s">
        <v>751</v>
      </c>
      <c r="J102" s="74"/>
      <c r="K102" s="74"/>
    </row>
    <row r="103" spans="1:11" ht="34.5">
      <c r="A103" s="61"/>
      <c r="B103" s="30"/>
      <c r="C103" s="29" t="s">
        <v>207</v>
      </c>
      <c r="D103" s="214" t="s">
        <v>208</v>
      </c>
      <c r="E103" s="50">
        <f>(((2.6*1.5)*2)+(1.3*1.5)+(0.5*1.5))</f>
        <v>10.5</v>
      </c>
      <c r="F103" s="125">
        <v>240000</v>
      </c>
      <c r="G103" s="125">
        <f t="shared" si="4"/>
        <v>2520000</v>
      </c>
      <c r="H103" s="105"/>
      <c r="J103" s="74"/>
      <c r="K103" s="74"/>
    </row>
    <row r="104" spans="1:11" ht="18.75">
      <c r="A104" s="61"/>
      <c r="B104" s="62"/>
      <c r="C104" s="29" t="s">
        <v>36</v>
      </c>
      <c r="D104" s="49" t="s">
        <v>20</v>
      </c>
      <c r="E104" s="50">
        <f>(3.25*2.5)+(4.37*2.4)</f>
        <v>18.613</v>
      </c>
      <c r="F104" s="125">
        <v>125000</v>
      </c>
      <c r="G104" s="125">
        <f t="shared" si="4"/>
        <v>2326625</v>
      </c>
      <c r="H104" s="106"/>
      <c r="J104" s="74"/>
      <c r="K104" s="74"/>
    </row>
    <row r="105" spans="1:11" ht="31.5">
      <c r="A105" s="61"/>
      <c r="B105" s="62"/>
      <c r="C105" s="29" t="s">
        <v>53</v>
      </c>
      <c r="D105" s="49" t="s">
        <v>20</v>
      </c>
      <c r="E105" s="50">
        <f>(2.5*1.4)+(4.37*2.5)</f>
        <v>14.425</v>
      </c>
      <c r="F105" s="125">
        <v>150000</v>
      </c>
      <c r="G105" s="125">
        <f t="shared" si="4"/>
        <v>2163750</v>
      </c>
      <c r="H105" s="106"/>
      <c r="J105" s="74"/>
      <c r="K105" s="74"/>
    </row>
    <row r="106" spans="1:11" ht="15.75">
      <c r="A106" s="61"/>
      <c r="B106" s="62"/>
      <c r="C106" s="29" t="s">
        <v>834</v>
      </c>
      <c r="D106" s="64" t="s">
        <v>210</v>
      </c>
      <c r="E106" s="50">
        <v>40</v>
      </c>
      <c r="F106" s="125">
        <v>13640</v>
      </c>
      <c r="G106" s="125">
        <f t="shared" si="4"/>
        <v>545600</v>
      </c>
      <c r="H106" s="105" t="s">
        <v>903</v>
      </c>
      <c r="J106" s="74"/>
      <c r="K106" s="74"/>
    </row>
    <row r="107" spans="1:11" ht="15.75">
      <c r="A107" s="61"/>
      <c r="B107" s="62"/>
      <c r="C107" s="29" t="s">
        <v>41</v>
      </c>
      <c r="D107" s="49" t="s">
        <v>42</v>
      </c>
      <c r="E107" s="50">
        <v>1</v>
      </c>
      <c r="F107" s="125">
        <v>238000</v>
      </c>
      <c r="G107" s="125">
        <f t="shared" si="4"/>
        <v>238000</v>
      </c>
      <c r="H107" s="106"/>
      <c r="J107" s="74"/>
      <c r="K107" s="74"/>
    </row>
    <row r="108" spans="1:11" ht="18.75">
      <c r="A108" s="61"/>
      <c r="B108" s="62"/>
      <c r="C108" s="29" t="s">
        <v>54</v>
      </c>
      <c r="D108" s="49" t="s">
        <v>20</v>
      </c>
      <c r="E108" s="50">
        <f>4.27*2.7</f>
        <v>11.529</v>
      </c>
      <c r="F108" s="125">
        <v>85000</v>
      </c>
      <c r="G108" s="125">
        <f t="shared" si="4"/>
        <v>979965</v>
      </c>
      <c r="H108" s="106" t="s">
        <v>187</v>
      </c>
      <c r="J108" s="74"/>
      <c r="K108" s="74"/>
    </row>
    <row r="109" spans="1:11" ht="18.75">
      <c r="A109" s="61"/>
      <c r="B109" s="62"/>
      <c r="C109" s="29" t="s">
        <v>28</v>
      </c>
      <c r="D109" s="49" t="s">
        <v>20</v>
      </c>
      <c r="E109" s="50">
        <f>(1.5*1.7)</f>
        <v>2.55</v>
      </c>
      <c r="F109" s="125">
        <v>85000</v>
      </c>
      <c r="G109" s="125">
        <f t="shared" si="4"/>
        <v>216749.99999999997</v>
      </c>
      <c r="H109" s="105" t="s">
        <v>187</v>
      </c>
      <c r="J109" s="74"/>
      <c r="K109" s="74"/>
    </row>
    <row r="110" spans="1:11" ht="18.75">
      <c r="A110" s="61"/>
      <c r="B110" s="62"/>
      <c r="C110" s="29" t="s">
        <v>27</v>
      </c>
      <c r="D110" s="49" t="s">
        <v>32</v>
      </c>
      <c r="E110" s="50">
        <f>((0.3*0.3*2)*2)+(0.2*0.2*1)</f>
        <v>0.4</v>
      </c>
      <c r="F110" s="125">
        <f>1854000</f>
        <v>1854000</v>
      </c>
      <c r="G110" s="125">
        <f t="shared" si="4"/>
        <v>741600</v>
      </c>
      <c r="H110" s="106"/>
      <c r="J110" s="74"/>
      <c r="K110" s="74"/>
    </row>
    <row r="111" spans="1:11" ht="30.75" customHeight="1">
      <c r="A111" s="61"/>
      <c r="B111" s="62"/>
      <c r="C111" s="29" t="s">
        <v>55</v>
      </c>
      <c r="D111" s="49" t="s">
        <v>20</v>
      </c>
      <c r="E111" s="50">
        <f>(2.9+4)*1.5</f>
        <v>10.350000000000001</v>
      </c>
      <c r="F111" s="125">
        <v>325000</v>
      </c>
      <c r="G111" s="125">
        <f t="shared" si="4"/>
        <v>3363750.0000000005</v>
      </c>
      <c r="H111" s="106"/>
      <c r="J111" s="74"/>
      <c r="K111" s="74"/>
    </row>
    <row r="112" spans="1:11" ht="15.75">
      <c r="A112" s="61"/>
      <c r="B112" s="62"/>
      <c r="C112" s="29" t="s">
        <v>829</v>
      </c>
      <c r="D112" s="49" t="s">
        <v>37</v>
      </c>
      <c r="E112" s="50">
        <v>5</v>
      </c>
      <c r="F112" s="125">
        <v>20000</v>
      </c>
      <c r="G112" s="125">
        <f t="shared" si="4"/>
        <v>100000</v>
      </c>
      <c r="H112" s="106" t="s">
        <v>187</v>
      </c>
      <c r="J112" s="74"/>
      <c r="K112" s="74"/>
    </row>
    <row r="113" spans="1:11" ht="15.75">
      <c r="A113" s="61"/>
      <c r="B113" s="62"/>
      <c r="C113" s="29" t="s">
        <v>830</v>
      </c>
      <c r="D113" s="49" t="s">
        <v>37</v>
      </c>
      <c r="E113" s="50">
        <v>2</v>
      </c>
      <c r="F113" s="125">
        <v>20000</v>
      </c>
      <c r="G113" s="125">
        <f t="shared" si="4"/>
        <v>40000</v>
      </c>
      <c r="H113" s="106" t="s">
        <v>187</v>
      </c>
      <c r="J113" s="74"/>
      <c r="K113" s="74"/>
    </row>
    <row r="114" spans="1:11" ht="15.75">
      <c r="A114" s="61"/>
      <c r="B114" s="62"/>
      <c r="C114" s="29" t="s">
        <v>831</v>
      </c>
      <c r="D114" s="49" t="s">
        <v>37</v>
      </c>
      <c r="E114" s="50">
        <v>1</v>
      </c>
      <c r="F114" s="125">
        <v>10000</v>
      </c>
      <c r="G114" s="125">
        <f t="shared" si="4"/>
        <v>10000</v>
      </c>
      <c r="H114" s="106" t="s">
        <v>187</v>
      </c>
      <c r="J114" s="74"/>
      <c r="K114" s="74"/>
    </row>
    <row r="115" spans="1:11" ht="15.75">
      <c r="A115" s="42"/>
      <c r="B115" s="43" t="s">
        <v>5</v>
      </c>
      <c r="C115" s="44"/>
      <c r="D115" s="45"/>
      <c r="E115" s="46"/>
      <c r="F115" s="133"/>
      <c r="G115" s="156">
        <f>SUM(G97:G114)</f>
        <v>436482032.53499997</v>
      </c>
      <c r="H115" s="261"/>
      <c r="J115" s="74"/>
      <c r="K115" s="74"/>
    </row>
    <row r="116" spans="1:11" ht="39" customHeight="1">
      <c r="A116" s="54">
        <v>7</v>
      </c>
      <c r="B116" s="55" t="s">
        <v>56</v>
      </c>
      <c r="C116" s="56" t="s">
        <v>609</v>
      </c>
      <c r="D116" s="49" t="s">
        <v>20</v>
      </c>
      <c r="E116" s="57">
        <v>46.6</v>
      </c>
      <c r="F116" s="125"/>
      <c r="G116" s="125"/>
      <c r="H116" s="105"/>
      <c r="I116" s="263"/>
      <c r="J116" s="74"/>
      <c r="K116" s="74"/>
    </row>
    <row r="117" spans="1:11" ht="50.25" customHeight="1">
      <c r="A117" s="61"/>
      <c r="B117" s="30" t="s">
        <v>513</v>
      </c>
      <c r="C117" s="30" t="s">
        <v>195</v>
      </c>
      <c r="D117" s="64"/>
      <c r="E117" s="60"/>
      <c r="F117" s="130"/>
      <c r="G117" s="125"/>
      <c r="H117" s="106"/>
      <c r="J117" s="74"/>
      <c r="K117" s="74"/>
    </row>
    <row r="118" spans="1:11" ht="99" customHeight="1">
      <c r="A118" s="61"/>
      <c r="B118" s="62" t="s">
        <v>57</v>
      </c>
      <c r="C118" s="48" t="s">
        <v>785</v>
      </c>
      <c r="D118" s="49" t="s">
        <v>20</v>
      </c>
      <c r="E118" s="50">
        <v>44</v>
      </c>
      <c r="F118" s="125">
        <v>5003000</v>
      </c>
      <c r="G118" s="125">
        <f>F118*E118</f>
        <v>220132000</v>
      </c>
      <c r="H118" s="106"/>
      <c r="J118" s="74"/>
      <c r="K118" s="74"/>
    </row>
    <row r="119" spans="1:11" ht="112.5" customHeight="1">
      <c r="A119" s="61"/>
      <c r="B119" s="62"/>
      <c r="C119" s="29" t="s">
        <v>945</v>
      </c>
      <c r="D119" s="49" t="s">
        <v>20</v>
      </c>
      <c r="E119" s="50">
        <v>2.6</v>
      </c>
      <c r="F119" s="125">
        <v>3953000</v>
      </c>
      <c r="G119" s="125">
        <f>F119*E119</f>
        <v>10277800</v>
      </c>
      <c r="H119" s="106"/>
      <c r="J119" s="74"/>
      <c r="K119" s="74"/>
    </row>
    <row r="120" spans="1:11" ht="20.25" customHeight="1">
      <c r="A120" s="42"/>
      <c r="B120" s="43" t="s">
        <v>5</v>
      </c>
      <c r="C120" s="44"/>
      <c r="D120" s="45"/>
      <c r="E120" s="46"/>
      <c r="F120" s="133"/>
      <c r="G120" s="156">
        <f>SUM(G116:G119)</f>
        <v>230409800</v>
      </c>
      <c r="H120" s="261"/>
      <c r="J120" s="74"/>
      <c r="K120" s="74"/>
    </row>
    <row r="121" spans="1:11" ht="42.75" customHeight="1">
      <c r="A121" s="54">
        <v>8</v>
      </c>
      <c r="B121" s="55" t="s">
        <v>58</v>
      </c>
      <c r="C121" s="56" t="s">
        <v>610</v>
      </c>
      <c r="D121" s="49" t="s">
        <v>20</v>
      </c>
      <c r="E121" s="57">
        <v>3.1</v>
      </c>
      <c r="F121" s="125"/>
      <c r="G121" s="125"/>
      <c r="H121" s="105"/>
      <c r="J121" s="74"/>
      <c r="K121" s="74"/>
    </row>
    <row r="122" spans="1:11" ht="21" customHeight="1">
      <c r="A122" s="54"/>
      <c r="B122" s="55" t="s">
        <v>960</v>
      </c>
      <c r="C122" s="30" t="s">
        <v>195</v>
      </c>
      <c r="D122" s="49"/>
      <c r="E122" s="84"/>
      <c r="F122" s="125"/>
      <c r="G122" s="125"/>
      <c r="H122" s="105"/>
      <c r="J122" s="74"/>
      <c r="K122" s="74"/>
    </row>
    <row r="123" spans="1:11" ht="114" customHeight="1">
      <c r="A123" s="54"/>
      <c r="B123" s="30" t="s">
        <v>514</v>
      </c>
      <c r="C123" s="29" t="s">
        <v>945</v>
      </c>
      <c r="D123" s="49" t="s">
        <v>20</v>
      </c>
      <c r="E123" s="84">
        <v>3.1</v>
      </c>
      <c r="F123" s="125">
        <v>3953000</v>
      </c>
      <c r="G123" s="125">
        <f aca="true" t="shared" si="5" ref="G123:G128">F123*E123</f>
        <v>12254300</v>
      </c>
      <c r="H123" s="105"/>
      <c r="J123" s="74"/>
      <c r="K123" s="74"/>
    </row>
    <row r="124" spans="1:11" ht="78.75">
      <c r="A124" s="61"/>
      <c r="B124" s="62" t="s">
        <v>59</v>
      </c>
      <c r="C124" s="30" t="s">
        <v>205</v>
      </c>
      <c r="D124" s="49" t="s">
        <v>20</v>
      </c>
      <c r="E124" s="60">
        <f>3.25*2.7</f>
        <v>8.775</v>
      </c>
      <c r="F124" s="125">
        <f>2450000+160000</f>
        <v>2610000</v>
      </c>
      <c r="G124" s="125">
        <f t="shared" si="5"/>
        <v>22902750</v>
      </c>
      <c r="H124" s="105" t="s">
        <v>751</v>
      </c>
      <c r="J124" s="74"/>
      <c r="K124" s="74"/>
    </row>
    <row r="125" spans="1:11" ht="34.5">
      <c r="A125" s="61"/>
      <c r="B125" s="217"/>
      <c r="C125" s="29" t="s">
        <v>207</v>
      </c>
      <c r="D125" s="214" t="s">
        <v>208</v>
      </c>
      <c r="E125" s="50">
        <f>((3.25*1.5)*2+(2.7*1.5)+(1.9*1.5))</f>
        <v>16.65</v>
      </c>
      <c r="F125" s="125">
        <v>240000</v>
      </c>
      <c r="G125" s="125">
        <f t="shared" si="5"/>
        <v>3995999.9999999995</v>
      </c>
      <c r="H125" s="105"/>
      <c r="J125" s="74"/>
      <c r="K125" s="74"/>
    </row>
    <row r="126" spans="1:11" ht="31.5" customHeight="1">
      <c r="A126" s="61"/>
      <c r="B126" s="217"/>
      <c r="C126" s="48" t="s">
        <v>35</v>
      </c>
      <c r="D126" s="49" t="s">
        <v>20</v>
      </c>
      <c r="E126" s="50">
        <f>(3.9+1.7)*2.2</f>
        <v>12.32</v>
      </c>
      <c r="F126" s="125">
        <v>325000</v>
      </c>
      <c r="G126" s="125">
        <f t="shared" si="5"/>
        <v>4004000</v>
      </c>
      <c r="H126" s="106"/>
      <c r="J126" s="74"/>
      <c r="K126" s="74"/>
    </row>
    <row r="127" spans="1:11" ht="24.75" customHeight="1">
      <c r="A127" s="61"/>
      <c r="B127" s="74"/>
      <c r="C127" s="29" t="s">
        <v>36</v>
      </c>
      <c r="D127" s="49" t="s">
        <v>20</v>
      </c>
      <c r="E127" s="50">
        <f>(3.9*1.5)</f>
        <v>5.85</v>
      </c>
      <c r="F127" s="125">
        <v>125000</v>
      </c>
      <c r="G127" s="125">
        <f t="shared" si="5"/>
        <v>731250</v>
      </c>
      <c r="H127" s="106"/>
      <c r="J127" s="74"/>
      <c r="K127" s="74"/>
    </row>
    <row r="128" spans="1:11" ht="31.5">
      <c r="A128" s="61"/>
      <c r="B128" s="30"/>
      <c r="C128" s="29" t="s">
        <v>744</v>
      </c>
      <c r="D128" s="37" t="s">
        <v>32</v>
      </c>
      <c r="E128" s="60">
        <f>(3.14*0.25*2)*2</f>
        <v>3.14</v>
      </c>
      <c r="F128" s="130">
        <v>1684000</v>
      </c>
      <c r="G128" s="125">
        <f t="shared" si="5"/>
        <v>5287760</v>
      </c>
      <c r="H128" s="106" t="s">
        <v>745</v>
      </c>
      <c r="J128" s="74"/>
      <c r="K128" s="74"/>
    </row>
    <row r="129" spans="1:11" ht="15.75">
      <c r="A129" s="42"/>
      <c r="B129" s="43" t="s">
        <v>5</v>
      </c>
      <c r="C129" s="44"/>
      <c r="D129" s="45"/>
      <c r="E129" s="46"/>
      <c r="F129" s="133"/>
      <c r="G129" s="156">
        <f>SUM(G121:G128)</f>
        <v>49176060</v>
      </c>
      <c r="H129" s="261"/>
      <c r="J129" s="74"/>
      <c r="K129" s="74"/>
    </row>
    <row r="130" spans="1:11" ht="47.25" customHeight="1">
      <c r="A130" s="54">
        <v>9</v>
      </c>
      <c r="B130" s="55" t="s">
        <v>60</v>
      </c>
      <c r="C130" s="56" t="s">
        <v>611</v>
      </c>
      <c r="D130" s="49" t="s">
        <v>20</v>
      </c>
      <c r="E130" s="57">
        <v>3.5</v>
      </c>
      <c r="F130" s="134"/>
      <c r="G130" s="154"/>
      <c r="H130" s="259" t="s">
        <v>61</v>
      </c>
      <c r="J130" s="74"/>
      <c r="K130" s="74"/>
    </row>
    <row r="131" spans="1:11" ht="51" customHeight="1">
      <c r="A131" s="54"/>
      <c r="B131" s="30" t="s">
        <v>525</v>
      </c>
      <c r="C131" s="30" t="s">
        <v>195</v>
      </c>
      <c r="D131" s="49"/>
      <c r="E131" s="84"/>
      <c r="F131" s="125"/>
      <c r="G131" s="206"/>
      <c r="H131" s="105"/>
      <c r="J131" s="74"/>
      <c r="K131" s="74"/>
    </row>
    <row r="132" spans="1:11" ht="116.25" customHeight="1">
      <c r="A132" s="54"/>
      <c r="B132" s="62" t="s">
        <v>62</v>
      </c>
      <c r="C132" s="29" t="s">
        <v>945</v>
      </c>
      <c r="D132" s="49" t="s">
        <v>20</v>
      </c>
      <c r="E132" s="84">
        <v>3.5</v>
      </c>
      <c r="F132" s="125">
        <v>3953000</v>
      </c>
      <c r="G132" s="125">
        <f>F132*E132</f>
        <v>13835500</v>
      </c>
      <c r="H132" s="105"/>
      <c r="J132" s="74"/>
      <c r="K132" s="74"/>
    </row>
    <row r="133" spans="1:11" ht="156.75" customHeight="1">
      <c r="A133" s="54"/>
      <c r="B133" s="62"/>
      <c r="C133" s="30" t="s">
        <v>99</v>
      </c>
      <c r="D133" s="49" t="s">
        <v>20</v>
      </c>
      <c r="E133" s="60">
        <f>5.3*3.9</f>
        <v>20.669999999999998</v>
      </c>
      <c r="F133" s="130">
        <f>3230000-(25%*3230000)-150000-160000</f>
        <v>2112500</v>
      </c>
      <c r="G133" s="125">
        <f>F133*E133</f>
        <v>43665374.99999999</v>
      </c>
      <c r="H133" s="216" t="s">
        <v>756</v>
      </c>
      <c r="J133" s="74"/>
      <c r="K133" s="74"/>
    </row>
    <row r="134" spans="1:11" ht="40.5" customHeight="1">
      <c r="A134" s="54"/>
      <c r="B134" s="217"/>
      <c r="C134" s="29" t="s">
        <v>35</v>
      </c>
      <c r="D134" s="49" t="s">
        <v>20</v>
      </c>
      <c r="E134" s="84">
        <f>4*2.5</f>
        <v>10</v>
      </c>
      <c r="F134" s="125">
        <v>325000</v>
      </c>
      <c r="G134" s="125">
        <f>F134*E134</f>
        <v>3250000</v>
      </c>
      <c r="H134" s="105"/>
      <c r="J134" s="74"/>
      <c r="K134" s="74"/>
    </row>
    <row r="135" spans="1:11" ht="18.75">
      <c r="A135" s="54"/>
      <c r="B135" s="219"/>
      <c r="C135" s="29" t="s">
        <v>36</v>
      </c>
      <c r="D135" s="49" t="s">
        <v>20</v>
      </c>
      <c r="E135" s="50">
        <f>4.5*0.5</f>
        <v>2.25</v>
      </c>
      <c r="F135" s="125">
        <v>125000</v>
      </c>
      <c r="G135" s="125">
        <f>F135*E135</f>
        <v>281250</v>
      </c>
      <c r="H135" s="105"/>
      <c r="J135" s="74"/>
      <c r="K135" s="74"/>
    </row>
    <row r="136" spans="1:11" ht="21" customHeight="1">
      <c r="A136" s="42"/>
      <c r="B136" s="43" t="s">
        <v>5</v>
      </c>
      <c r="C136" s="44"/>
      <c r="D136" s="45"/>
      <c r="E136" s="46"/>
      <c r="F136" s="133"/>
      <c r="G136" s="156">
        <f>SUM(G130:G135)</f>
        <v>61032124.99999999</v>
      </c>
      <c r="H136" s="261"/>
      <c r="J136" s="74"/>
      <c r="K136" s="74"/>
    </row>
    <row r="137" spans="1:11" ht="32.25" customHeight="1">
      <c r="A137" s="54">
        <v>10</v>
      </c>
      <c r="B137" s="55" t="s">
        <v>681</v>
      </c>
      <c r="C137" s="48" t="s">
        <v>612</v>
      </c>
      <c r="D137" s="49" t="s">
        <v>20</v>
      </c>
      <c r="E137" s="50">
        <v>686.2</v>
      </c>
      <c r="F137" s="125"/>
      <c r="G137" s="125"/>
      <c r="H137" s="105"/>
      <c r="J137" s="74"/>
      <c r="K137" s="74"/>
    </row>
    <row r="138" spans="1:11" ht="21.75" customHeight="1">
      <c r="A138" s="61"/>
      <c r="B138" s="62" t="s">
        <v>64</v>
      </c>
      <c r="C138" s="30" t="s">
        <v>195</v>
      </c>
      <c r="D138" s="49"/>
      <c r="E138" s="50"/>
      <c r="F138" s="130"/>
      <c r="G138" s="125"/>
      <c r="H138" s="106"/>
      <c r="J138" s="74"/>
      <c r="K138" s="74"/>
    </row>
    <row r="139" spans="1:11" ht="132.75" customHeight="1">
      <c r="A139" s="61"/>
      <c r="B139" s="30" t="s">
        <v>963</v>
      </c>
      <c r="C139" s="48" t="s">
        <v>786</v>
      </c>
      <c r="D139" s="49" t="s">
        <v>20</v>
      </c>
      <c r="E139" s="50">
        <v>351</v>
      </c>
      <c r="F139" s="125">
        <v>5102000</v>
      </c>
      <c r="G139" s="125">
        <f>F139*E139</f>
        <v>1790802000</v>
      </c>
      <c r="H139" s="106"/>
      <c r="J139" s="74"/>
      <c r="K139" s="74"/>
    </row>
    <row r="140" spans="1:11" ht="144" customHeight="1">
      <c r="A140" s="140"/>
      <c r="B140" s="62" t="s">
        <v>63</v>
      </c>
      <c r="C140" s="29" t="s">
        <v>1187</v>
      </c>
      <c r="D140" s="49" t="s">
        <v>20</v>
      </c>
      <c r="E140" s="50">
        <v>335.2</v>
      </c>
      <c r="F140" s="125">
        <v>2551000</v>
      </c>
      <c r="G140" s="125">
        <f>F140*E140</f>
        <v>855095200</v>
      </c>
      <c r="H140" s="106"/>
      <c r="I140" s="170"/>
      <c r="J140" s="74"/>
      <c r="K140" s="74"/>
    </row>
    <row r="141" spans="1:11" ht="41.25" customHeight="1">
      <c r="A141" s="140"/>
      <c r="B141" s="62"/>
      <c r="C141" s="48" t="s">
        <v>961</v>
      </c>
      <c r="D141" s="49" t="s">
        <v>20</v>
      </c>
      <c r="E141" s="50">
        <v>925.6</v>
      </c>
      <c r="F141" s="125"/>
      <c r="G141" s="125"/>
      <c r="H141" s="106"/>
      <c r="J141" s="74"/>
      <c r="K141" s="74"/>
    </row>
    <row r="142" spans="1:11" ht="21.75" customHeight="1">
      <c r="A142" s="140"/>
      <c r="B142" s="62"/>
      <c r="C142" s="30" t="s">
        <v>195</v>
      </c>
      <c r="D142" s="49"/>
      <c r="E142" s="50"/>
      <c r="F142" s="125"/>
      <c r="G142" s="125"/>
      <c r="H142" s="106"/>
      <c r="J142" s="74"/>
      <c r="K142" s="74"/>
    </row>
    <row r="143" spans="1:11" ht="121.5" customHeight="1">
      <c r="A143" s="140"/>
      <c r="B143" s="62"/>
      <c r="C143" s="48" t="s">
        <v>786</v>
      </c>
      <c r="D143" s="49" t="s">
        <v>20</v>
      </c>
      <c r="E143" s="50">
        <v>284.7</v>
      </c>
      <c r="F143" s="125">
        <v>5102000</v>
      </c>
      <c r="G143" s="125">
        <f>F143*E143</f>
        <v>1452539400</v>
      </c>
      <c r="H143" s="106"/>
      <c r="J143" s="74"/>
      <c r="K143" s="74"/>
    </row>
    <row r="144" spans="1:11" ht="142.5" customHeight="1">
      <c r="A144" s="140"/>
      <c r="B144" s="62"/>
      <c r="C144" s="48" t="s">
        <v>949</v>
      </c>
      <c r="D144" s="37" t="s">
        <v>20</v>
      </c>
      <c r="E144" s="60">
        <v>640.9</v>
      </c>
      <c r="F144" s="125">
        <v>2551000</v>
      </c>
      <c r="G144" s="125">
        <f>F144*E144</f>
        <v>1634935900</v>
      </c>
      <c r="H144" s="106"/>
      <c r="J144" s="74"/>
      <c r="K144" s="74"/>
    </row>
    <row r="145" spans="1:11" ht="39" customHeight="1">
      <c r="A145" s="140"/>
      <c r="B145" s="62"/>
      <c r="C145" s="29" t="s">
        <v>962</v>
      </c>
      <c r="D145" s="49" t="s">
        <v>20</v>
      </c>
      <c r="E145" s="84">
        <v>446.8</v>
      </c>
      <c r="F145" s="125"/>
      <c r="G145" s="125"/>
      <c r="H145" s="106"/>
      <c r="J145" s="74"/>
      <c r="K145" s="74"/>
    </row>
    <row r="146" spans="1:11" ht="21.75" customHeight="1">
      <c r="A146" s="140"/>
      <c r="B146" s="62"/>
      <c r="C146" s="30" t="s">
        <v>195</v>
      </c>
      <c r="D146" s="64"/>
      <c r="E146" s="60"/>
      <c r="F146" s="125"/>
      <c r="G146" s="125"/>
      <c r="H146" s="106"/>
      <c r="J146" s="74"/>
      <c r="K146" s="74"/>
    </row>
    <row r="147" spans="1:11" ht="130.5" customHeight="1">
      <c r="A147" s="140"/>
      <c r="B147" s="62"/>
      <c r="C147" s="48" t="s">
        <v>786</v>
      </c>
      <c r="D147" s="49" t="s">
        <v>20</v>
      </c>
      <c r="E147" s="50">
        <v>305</v>
      </c>
      <c r="F147" s="125">
        <v>5102000</v>
      </c>
      <c r="G147" s="125">
        <f>F147*E147</f>
        <v>1556110000</v>
      </c>
      <c r="H147" s="106"/>
      <c r="I147" s="116"/>
      <c r="J147" s="74"/>
      <c r="K147" s="74"/>
    </row>
    <row r="148" spans="1:11" ht="135.75" customHeight="1">
      <c r="A148" s="140"/>
      <c r="B148" s="62"/>
      <c r="C148" s="29" t="s">
        <v>943</v>
      </c>
      <c r="D148" s="49" t="s">
        <v>20</v>
      </c>
      <c r="E148" s="50">
        <v>141.8</v>
      </c>
      <c r="F148" s="125">
        <v>2551000</v>
      </c>
      <c r="G148" s="125">
        <f>F148*E148</f>
        <v>361731800</v>
      </c>
      <c r="H148" s="106"/>
      <c r="J148" s="74"/>
      <c r="K148" s="74"/>
    </row>
    <row r="149" spans="1:11" ht="20.25" customHeight="1">
      <c r="A149" s="42"/>
      <c r="B149" s="43" t="s">
        <v>5</v>
      </c>
      <c r="C149" s="44"/>
      <c r="D149" s="45"/>
      <c r="E149" s="46"/>
      <c r="F149" s="133"/>
      <c r="G149" s="156">
        <f>SUM(G137:G148)</f>
        <v>7651214300</v>
      </c>
      <c r="H149" s="261"/>
      <c r="J149" s="74"/>
      <c r="K149" s="74"/>
    </row>
    <row r="150" spans="1:11" ht="42" customHeight="1">
      <c r="A150" s="54">
        <v>11</v>
      </c>
      <c r="B150" s="55" t="s">
        <v>65</v>
      </c>
      <c r="C150" s="29" t="s">
        <v>613</v>
      </c>
      <c r="D150" s="49" t="s">
        <v>20</v>
      </c>
      <c r="E150" s="84">
        <v>83.6</v>
      </c>
      <c r="F150" s="125"/>
      <c r="G150" s="125"/>
      <c r="H150" s="105"/>
      <c r="J150" s="74"/>
      <c r="K150" s="74"/>
    </row>
    <row r="151" spans="1:11" ht="21.75" customHeight="1">
      <c r="A151" s="54"/>
      <c r="B151" s="62" t="s">
        <v>67</v>
      </c>
      <c r="C151" s="30" t="s">
        <v>195</v>
      </c>
      <c r="D151" s="49"/>
      <c r="E151" s="84"/>
      <c r="F151" s="125"/>
      <c r="G151" s="125"/>
      <c r="H151" s="105"/>
      <c r="J151" s="74"/>
      <c r="K151" s="74"/>
    </row>
    <row r="152" spans="1:11" ht="108.75" customHeight="1">
      <c r="A152" s="54"/>
      <c r="B152" s="30" t="s">
        <v>515</v>
      </c>
      <c r="C152" s="48" t="s">
        <v>780</v>
      </c>
      <c r="D152" s="49" t="s">
        <v>20</v>
      </c>
      <c r="E152" s="84">
        <v>83.6</v>
      </c>
      <c r="F152" s="125">
        <v>5670000</v>
      </c>
      <c r="G152" s="125">
        <f>F152*E152</f>
        <v>474011999.99999994</v>
      </c>
      <c r="H152" s="105"/>
      <c r="J152" s="74"/>
      <c r="K152" s="74"/>
    </row>
    <row r="153" spans="1:11" ht="121.5" customHeight="1">
      <c r="A153" s="61"/>
      <c r="B153" s="30" t="s">
        <v>66</v>
      </c>
      <c r="C153" s="30" t="s">
        <v>101</v>
      </c>
      <c r="D153" s="49" t="s">
        <v>20</v>
      </c>
      <c r="E153" s="60">
        <f>(4.8*4.6)+(8.2*7.4)</f>
        <v>82.75999999999999</v>
      </c>
      <c r="F153" s="130">
        <f>3230000-(8%*3230000)-(5%*3230000)</f>
        <v>2810100</v>
      </c>
      <c r="G153" s="125">
        <f>F153*E153</f>
        <v>232563875.99999997</v>
      </c>
      <c r="H153" s="213" t="s">
        <v>754</v>
      </c>
      <c r="J153" s="74"/>
      <c r="K153" s="74"/>
    </row>
    <row r="154" spans="1:11" ht="204.75" customHeight="1">
      <c r="A154" s="61"/>
      <c r="B154" s="217"/>
      <c r="C154" s="30" t="s">
        <v>100</v>
      </c>
      <c r="D154" s="49" t="s">
        <v>20</v>
      </c>
      <c r="E154" s="50">
        <f>4.9*1.8</f>
        <v>8.82</v>
      </c>
      <c r="F154" s="125">
        <f>3230000-(8%*3230000)-150000-160000-(5%*3230000)</f>
        <v>2500100</v>
      </c>
      <c r="G154" s="125">
        <f aca="true" t="shared" si="6" ref="G154:G166">F154*E154</f>
        <v>22050882</v>
      </c>
      <c r="H154" s="213" t="s">
        <v>757</v>
      </c>
      <c r="J154" s="74"/>
      <c r="K154" s="74"/>
    </row>
    <row r="155" spans="1:11" ht="63">
      <c r="A155" s="61"/>
      <c r="B155" s="217"/>
      <c r="C155" s="29" t="s">
        <v>507</v>
      </c>
      <c r="D155" s="49" t="s">
        <v>20</v>
      </c>
      <c r="E155" s="50">
        <f>2*1.8</f>
        <v>3.6</v>
      </c>
      <c r="F155" s="125">
        <f>2450000+160000</f>
        <v>2610000</v>
      </c>
      <c r="G155" s="125">
        <f t="shared" si="6"/>
        <v>9396000</v>
      </c>
      <c r="H155" s="105" t="s">
        <v>751</v>
      </c>
      <c r="J155" s="74"/>
      <c r="K155" s="74"/>
    </row>
    <row r="156" spans="1:11" ht="34.5">
      <c r="A156" s="61"/>
      <c r="B156" s="62"/>
      <c r="C156" s="29" t="s">
        <v>207</v>
      </c>
      <c r="D156" s="214" t="s">
        <v>208</v>
      </c>
      <c r="E156" s="50">
        <f>((2*1.5)*2+(1.8*1.5)+(1*1.5))</f>
        <v>10.2</v>
      </c>
      <c r="F156" s="125">
        <v>240000</v>
      </c>
      <c r="G156" s="125">
        <f t="shared" si="6"/>
        <v>2448000</v>
      </c>
      <c r="H156" s="105"/>
      <c r="J156" s="74"/>
      <c r="K156" s="74"/>
    </row>
    <row r="157" spans="1:11" ht="18.75">
      <c r="A157" s="61"/>
      <c r="B157" s="62"/>
      <c r="C157" s="29" t="s">
        <v>68</v>
      </c>
      <c r="D157" s="49" t="s">
        <v>20</v>
      </c>
      <c r="E157" s="50">
        <f>(1.4*4.9)+(1.4*5.4)+(6.5*2.6)+(4.7*2.5)</f>
        <v>43.07</v>
      </c>
      <c r="F157" s="125">
        <v>150000</v>
      </c>
      <c r="G157" s="125">
        <f t="shared" si="6"/>
        <v>6460500</v>
      </c>
      <c r="H157" s="106"/>
      <c r="J157" s="74"/>
      <c r="K157" s="74"/>
    </row>
    <row r="158" spans="1:11" ht="18.75">
      <c r="A158" s="61"/>
      <c r="B158" s="62"/>
      <c r="C158" s="29" t="s">
        <v>69</v>
      </c>
      <c r="D158" s="49" t="s">
        <v>20</v>
      </c>
      <c r="E158" s="50">
        <f>(1.3*2)+(1.8*1.8)</f>
        <v>5.84</v>
      </c>
      <c r="F158" s="125">
        <v>85000</v>
      </c>
      <c r="G158" s="125">
        <f t="shared" si="6"/>
        <v>496400</v>
      </c>
      <c r="H158" s="105" t="s">
        <v>187</v>
      </c>
      <c r="J158" s="74"/>
      <c r="K158" s="74"/>
    </row>
    <row r="159" spans="1:11" ht="30.75" customHeight="1">
      <c r="A159" s="61"/>
      <c r="B159" s="62"/>
      <c r="C159" s="29" t="s">
        <v>55</v>
      </c>
      <c r="D159" s="49" t="s">
        <v>20</v>
      </c>
      <c r="E159" s="50">
        <f>(3*2)+(4.5*2)</f>
        <v>15</v>
      </c>
      <c r="F159" s="125">
        <v>325000</v>
      </c>
      <c r="G159" s="125">
        <f t="shared" si="6"/>
        <v>4875000</v>
      </c>
      <c r="H159" s="106"/>
      <c r="J159" s="74"/>
      <c r="K159" s="74"/>
    </row>
    <row r="160" spans="1:11" ht="18.75">
      <c r="A160" s="61"/>
      <c r="B160" s="62"/>
      <c r="C160" s="29" t="s">
        <v>27</v>
      </c>
      <c r="D160" s="49" t="s">
        <v>32</v>
      </c>
      <c r="E160" s="50">
        <f>(0.3*0.3*2.2)*2</f>
        <v>0.396</v>
      </c>
      <c r="F160" s="125">
        <f>1854000</f>
        <v>1854000</v>
      </c>
      <c r="G160" s="125">
        <f t="shared" si="6"/>
        <v>734184</v>
      </c>
      <c r="H160" s="106"/>
      <c r="J160" s="74"/>
      <c r="K160" s="74"/>
    </row>
    <row r="161" spans="1:11" ht="18.75">
      <c r="A161" s="61"/>
      <c r="B161" s="62"/>
      <c r="C161" s="29" t="s">
        <v>26</v>
      </c>
      <c r="D161" s="49" t="s">
        <v>20</v>
      </c>
      <c r="E161" s="50">
        <f>(0.3*2.2)*2</f>
        <v>1.32</v>
      </c>
      <c r="F161" s="125">
        <v>82000</v>
      </c>
      <c r="G161" s="125">
        <f t="shared" si="6"/>
        <v>108240</v>
      </c>
      <c r="H161" s="106"/>
      <c r="J161" s="74"/>
      <c r="K161" s="74"/>
    </row>
    <row r="162" spans="1:11" ht="21" customHeight="1">
      <c r="A162" s="61"/>
      <c r="B162" s="62"/>
      <c r="C162" s="29" t="s">
        <v>835</v>
      </c>
      <c r="D162" s="49" t="s">
        <v>210</v>
      </c>
      <c r="E162" s="50">
        <v>57.5</v>
      </c>
      <c r="F162" s="125"/>
      <c r="G162" s="125">
        <f>F162*E162</f>
        <v>0</v>
      </c>
      <c r="H162" s="106"/>
      <c r="J162" s="74"/>
      <c r="K162" s="74"/>
    </row>
    <row r="163" spans="1:11" ht="21" customHeight="1">
      <c r="A163" s="61"/>
      <c r="B163" s="62"/>
      <c r="C163" s="29" t="s">
        <v>831</v>
      </c>
      <c r="D163" s="49" t="s">
        <v>37</v>
      </c>
      <c r="E163" s="50">
        <v>6</v>
      </c>
      <c r="F163" s="125">
        <v>10000</v>
      </c>
      <c r="G163" s="125">
        <f t="shared" si="6"/>
        <v>60000</v>
      </c>
      <c r="H163" s="106" t="s">
        <v>187</v>
      </c>
      <c r="J163" s="74"/>
      <c r="K163" s="74"/>
    </row>
    <row r="164" spans="1:11" ht="21" customHeight="1">
      <c r="A164" s="61"/>
      <c r="B164" s="62"/>
      <c r="C164" s="29" t="s">
        <v>830</v>
      </c>
      <c r="D164" s="49" t="s">
        <v>37</v>
      </c>
      <c r="E164" s="50">
        <v>2</v>
      </c>
      <c r="F164" s="125">
        <v>20000</v>
      </c>
      <c r="G164" s="125">
        <f t="shared" si="6"/>
        <v>40000</v>
      </c>
      <c r="H164" s="106" t="s">
        <v>187</v>
      </c>
      <c r="J164" s="74"/>
      <c r="K164" s="74"/>
    </row>
    <row r="165" spans="1:11" ht="21" customHeight="1">
      <c r="A165" s="61"/>
      <c r="B165" s="62"/>
      <c r="C165" s="29" t="s">
        <v>827</v>
      </c>
      <c r="D165" s="49" t="s">
        <v>37</v>
      </c>
      <c r="E165" s="50">
        <v>7</v>
      </c>
      <c r="F165" s="125">
        <v>20000</v>
      </c>
      <c r="G165" s="125">
        <f t="shared" si="6"/>
        <v>140000</v>
      </c>
      <c r="H165" s="106" t="s">
        <v>187</v>
      </c>
      <c r="J165" s="74"/>
      <c r="K165" s="74"/>
    </row>
    <row r="166" spans="1:11" ht="21" customHeight="1">
      <c r="A166" s="61"/>
      <c r="B166" s="30"/>
      <c r="C166" s="29" t="s">
        <v>828</v>
      </c>
      <c r="D166" s="49" t="s">
        <v>37</v>
      </c>
      <c r="E166" s="60">
        <v>3</v>
      </c>
      <c r="F166" s="125">
        <v>40000</v>
      </c>
      <c r="G166" s="125">
        <f t="shared" si="6"/>
        <v>120000</v>
      </c>
      <c r="H166" s="106" t="s">
        <v>187</v>
      </c>
      <c r="J166" s="74"/>
      <c r="K166" s="74"/>
    </row>
    <row r="167" spans="1:11" ht="21" customHeight="1">
      <c r="A167" s="42"/>
      <c r="B167" s="43" t="s">
        <v>5</v>
      </c>
      <c r="C167" s="44"/>
      <c r="D167" s="45"/>
      <c r="E167" s="46"/>
      <c r="F167" s="133"/>
      <c r="G167" s="156">
        <f>SUM(G150:G166)</f>
        <v>753505081.9999999</v>
      </c>
      <c r="H167" s="261"/>
      <c r="J167" s="74"/>
      <c r="K167" s="74"/>
    </row>
    <row r="168" spans="1:11" ht="38.25" customHeight="1">
      <c r="A168" s="54">
        <v>12</v>
      </c>
      <c r="B168" s="55" t="s">
        <v>70</v>
      </c>
      <c r="C168" s="56" t="s">
        <v>615</v>
      </c>
      <c r="D168" s="49" t="s">
        <v>20</v>
      </c>
      <c r="E168" s="57">
        <v>98.8</v>
      </c>
      <c r="F168" s="125"/>
      <c r="G168" s="125"/>
      <c r="H168" s="105"/>
      <c r="J168" s="74"/>
      <c r="K168" s="74"/>
    </row>
    <row r="169" spans="1:11" ht="15.75">
      <c r="A169" s="54"/>
      <c r="B169" s="62" t="s">
        <v>72</v>
      </c>
      <c r="C169" s="29" t="s">
        <v>195</v>
      </c>
      <c r="D169" s="49"/>
      <c r="E169" s="84"/>
      <c r="F169" s="125"/>
      <c r="G169" s="125"/>
      <c r="H169" s="105"/>
      <c r="J169" s="74"/>
      <c r="K169" s="74"/>
    </row>
    <row r="170" spans="1:11" ht="94.5" customHeight="1">
      <c r="A170" s="54"/>
      <c r="B170" s="30" t="s">
        <v>523</v>
      </c>
      <c r="C170" s="29" t="s">
        <v>787</v>
      </c>
      <c r="D170" s="49" t="s">
        <v>20</v>
      </c>
      <c r="E170" s="84">
        <v>98.8</v>
      </c>
      <c r="F170" s="125">
        <v>5003000</v>
      </c>
      <c r="G170" s="125">
        <f>F170*E170</f>
        <v>494296400</v>
      </c>
      <c r="H170" s="105"/>
      <c r="J170" s="74"/>
      <c r="K170" s="74"/>
    </row>
    <row r="171" spans="1:11" ht="113.25" customHeight="1">
      <c r="A171" s="61"/>
      <c r="B171" s="62" t="s">
        <v>71</v>
      </c>
      <c r="C171" s="30" t="s">
        <v>101</v>
      </c>
      <c r="D171" s="49" t="s">
        <v>20</v>
      </c>
      <c r="E171" s="60">
        <f>((4.4+4.8)/2)*20</f>
        <v>92</v>
      </c>
      <c r="F171" s="130">
        <f>3230000-(8%*3230000)-(5%*3230000)</f>
        <v>2810100</v>
      </c>
      <c r="G171" s="125">
        <f aca="true" t="shared" si="7" ref="G171:G176">F171*E171</f>
        <v>258529200</v>
      </c>
      <c r="H171" s="213" t="s">
        <v>758</v>
      </c>
      <c r="J171" s="74"/>
      <c r="K171" s="74"/>
    </row>
    <row r="172" spans="1:11" ht="31.5">
      <c r="A172" s="61"/>
      <c r="B172" s="217"/>
      <c r="C172" s="48" t="s">
        <v>191</v>
      </c>
      <c r="D172" s="49" t="s">
        <v>20</v>
      </c>
      <c r="E172" s="50">
        <f>4.4*2.4</f>
        <v>10.56</v>
      </c>
      <c r="F172" s="125">
        <v>928000</v>
      </c>
      <c r="G172" s="125">
        <f t="shared" si="7"/>
        <v>9799680</v>
      </c>
      <c r="H172" s="106"/>
      <c r="J172" s="74"/>
      <c r="K172" s="74"/>
    </row>
    <row r="173" spans="1:11" ht="31.5">
      <c r="A173" s="61"/>
      <c r="B173" s="217"/>
      <c r="C173" s="29" t="s">
        <v>73</v>
      </c>
      <c r="D173" s="49" t="s">
        <v>20</v>
      </c>
      <c r="E173" s="50">
        <f>4.4*1.7</f>
        <v>7.48</v>
      </c>
      <c r="F173" s="125">
        <v>736000</v>
      </c>
      <c r="G173" s="125">
        <f t="shared" si="7"/>
        <v>5505280</v>
      </c>
      <c r="H173" s="106"/>
      <c r="J173" s="74"/>
      <c r="K173" s="74"/>
    </row>
    <row r="174" spans="1:11" ht="21.75" customHeight="1">
      <c r="A174" s="61"/>
      <c r="B174" s="62"/>
      <c r="C174" s="29" t="s">
        <v>41</v>
      </c>
      <c r="D174" s="49" t="s">
        <v>42</v>
      </c>
      <c r="E174" s="50">
        <v>1</v>
      </c>
      <c r="F174" s="125">
        <v>238000</v>
      </c>
      <c r="G174" s="125">
        <f t="shared" si="7"/>
        <v>238000</v>
      </c>
      <c r="H174" s="106"/>
      <c r="J174" s="74"/>
      <c r="K174" s="74"/>
    </row>
    <row r="175" spans="1:11" ht="21.75" customHeight="1">
      <c r="A175" s="61"/>
      <c r="B175" s="62"/>
      <c r="C175" s="29" t="s">
        <v>836</v>
      </c>
      <c r="D175" s="64" t="s">
        <v>210</v>
      </c>
      <c r="E175" s="50">
        <v>40</v>
      </c>
      <c r="F175" s="125">
        <v>13640</v>
      </c>
      <c r="G175" s="125">
        <f t="shared" si="7"/>
        <v>545600</v>
      </c>
      <c r="H175" s="105" t="s">
        <v>903</v>
      </c>
      <c r="J175" s="74"/>
      <c r="K175" s="74"/>
    </row>
    <row r="176" spans="1:11" ht="21.75" customHeight="1">
      <c r="A176" s="61"/>
      <c r="B176" s="62"/>
      <c r="C176" s="29" t="s">
        <v>837</v>
      </c>
      <c r="D176" s="64" t="s">
        <v>210</v>
      </c>
      <c r="E176" s="50">
        <v>25</v>
      </c>
      <c r="F176" s="125">
        <v>35090</v>
      </c>
      <c r="G176" s="125">
        <f t="shared" si="7"/>
        <v>877250</v>
      </c>
      <c r="H176" s="105" t="s">
        <v>903</v>
      </c>
      <c r="J176" s="74"/>
      <c r="K176" s="74"/>
    </row>
    <row r="177" spans="1:11" ht="21.75" customHeight="1">
      <c r="A177" s="42"/>
      <c r="B177" s="43" t="s">
        <v>5</v>
      </c>
      <c r="C177" s="44"/>
      <c r="D177" s="45"/>
      <c r="E177" s="46"/>
      <c r="F177" s="133"/>
      <c r="G177" s="156">
        <f>SUM(G168:G176)</f>
        <v>769791410</v>
      </c>
      <c r="H177" s="261"/>
      <c r="J177" s="74"/>
      <c r="K177" s="74"/>
    </row>
    <row r="178" spans="1:11" ht="48.75" customHeight="1">
      <c r="A178" s="54">
        <v>13</v>
      </c>
      <c r="B178" s="55" t="s">
        <v>74</v>
      </c>
      <c r="C178" s="48" t="s">
        <v>616</v>
      </c>
      <c r="D178" s="37" t="s">
        <v>20</v>
      </c>
      <c r="E178" s="60">
        <v>59.9</v>
      </c>
      <c r="F178" s="130"/>
      <c r="G178" s="130"/>
      <c r="H178" s="105"/>
      <c r="J178" s="74"/>
      <c r="K178" s="74"/>
    </row>
    <row r="179" spans="1:11" ht="21.75" customHeight="1">
      <c r="A179" s="54"/>
      <c r="B179" s="62" t="s">
        <v>76</v>
      </c>
      <c r="C179" s="48" t="s">
        <v>195</v>
      </c>
      <c r="D179" s="37"/>
      <c r="E179" s="60"/>
      <c r="F179" s="130"/>
      <c r="G179" s="130"/>
      <c r="H179" s="105"/>
      <c r="J179" s="74"/>
      <c r="K179" s="74"/>
    </row>
    <row r="180" spans="1:11" ht="130.5" customHeight="1">
      <c r="A180" s="54"/>
      <c r="B180" s="30" t="s">
        <v>889</v>
      </c>
      <c r="C180" s="48" t="s">
        <v>939</v>
      </c>
      <c r="D180" s="37" t="s">
        <v>20</v>
      </c>
      <c r="E180" s="60">
        <v>59.9</v>
      </c>
      <c r="F180" s="125">
        <v>4420000</v>
      </c>
      <c r="G180" s="130">
        <f>F180*E180</f>
        <v>264758000</v>
      </c>
      <c r="H180" s="105"/>
      <c r="J180" s="74"/>
      <c r="K180" s="74"/>
    </row>
    <row r="181" spans="1:11" ht="48.75" customHeight="1">
      <c r="A181" s="54"/>
      <c r="B181" s="30" t="s">
        <v>75</v>
      </c>
      <c r="C181" s="48" t="s">
        <v>617</v>
      </c>
      <c r="D181" s="37" t="s">
        <v>20</v>
      </c>
      <c r="E181" s="60">
        <v>1180.6</v>
      </c>
      <c r="F181" s="130"/>
      <c r="G181" s="130"/>
      <c r="H181" s="105"/>
      <c r="J181" s="74"/>
      <c r="K181" s="74"/>
    </row>
    <row r="182" spans="1:11" ht="21.75" customHeight="1">
      <c r="A182" s="54"/>
      <c r="B182" s="69"/>
      <c r="C182" s="48" t="s">
        <v>195</v>
      </c>
      <c r="D182" s="37"/>
      <c r="E182" s="60"/>
      <c r="F182" s="130"/>
      <c r="G182" s="130"/>
      <c r="H182" s="105"/>
      <c r="J182" s="74"/>
      <c r="K182" s="74"/>
    </row>
    <row r="183" spans="1:11" ht="102" customHeight="1">
      <c r="A183" s="54"/>
      <c r="B183" s="55"/>
      <c r="C183" s="48" t="s">
        <v>780</v>
      </c>
      <c r="D183" s="37" t="s">
        <v>20</v>
      </c>
      <c r="E183" s="50">
        <v>200</v>
      </c>
      <c r="F183" s="125">
        <v>5670000</v>
      </c>
      <c r="G183" s="125">
        <f>F183*E183</f>
        <v>1134000000</v>
      </c>
      <c r="H183" s="105"/>
      <c r="J183" s="74"/>
      <c r="K183" s="74"/>
    </row>
    <row r="184" spans="1:11" ht="125.25" customHeight="1">
      <c r="A184" s="54"/>
      <c r="B184" s="69"/>
      <c r="C184" s="48" t="s">
        <v>941</v>
      </c>
      <c r="D184" s="37" t="s">
        <v>20</v>
      </c>
      <c r="E184" s="60">
        <v>980.5999999999999</v>
      </c>
      <c r="F184" s="125">
        <v>4420000</v>
      </c>
      <c r="G184" s="130">
        <f>F184*E184</f>
        <v>4334252000</v>
      </c>
      <c r="H184" s="105"/>
      <c r="J184" s="74"/>
      <c r="K184" s="74"/>
    </row>
    <row r="185" spans="1:11" ht="44.25" customHeight="1">
      <c r="A185" s="54"/>
      <c r="B185" s="69"/>
      <c r="C185" s="48" t="s">
        <v>618</v>
      </c>
      <c r="D185" s="37" t="s">
        <v>20</v>
      </c>
      <c r="E185" s="60">
        <v>85.7</v>
      </c>
      <c r="F185" s="130"/>
      <c r="G185" s="130"/>
      <c r="H185" s="105"/>
      <c r="J185" s="74"/>
      <c r="K185" s="74"/>
    </row>
    <row r="186" spans="1:11" ht="21.75" customHeight="1">
      <c r="A186" s="54"/>
      <c r="B186" s="69"/>
      <c r="C186" s="48" t="s">
        <v>195</v>
      </c>
      <c r="D186" s="37"/>
      <c r="E186" s="60"/>
      <c r="F186" s="130"/>
      <c r="G186" s="130"/>
      <c r="H186" s="105"/>
      <c r="J186" s="74"/>
      <c r="K186" s="74"/>
    </row>
    <row r="187" spans="1:11" ht="90" customHeight="1">
      <c r="A187" s="54"/>
      <c r="B187" s="69"/>
      <c r="C187" s="48" t="s">
        <v>777</v>
      </c>
      <c r="D187" s="37" t="s">
        <v>20</v>
      </c>
      <c r="E187" s="60">
        <v>85.7</v>
      </c>
      <c r="F187" s="130">
        <v>5003000</v>
      </c>
      <c r="G187" s="130">
        <f>F187*E187</f>
        <v>428757100</v>
      </c>
      <c r="H187" s="105"/>
      <c r="J187" s="74"/>
      <c r="K187" s="74"/>
    </row>
    <row r="188" spans="1:11" ht="78" customHeight="1">
      <c r="A188" s="61"/>
      <c r="B188" s="55"/>
      <c r="C188" s="48" t="s">
        <v>746</v>
      </c>
      <c r="D188" s="37" t="s">
        <v>20</v>
      </c>
      <c r="E188" s="77">
        <f>(3.9*12.5)*2</f>
        <v>97.5</v>
      </c>
      <c r="F188" s="130">
        <v>4820000</v>
      </c>
      <c r="G188" s="125">
        <f>F188*E188</f>
        <v>469950000</v>
      </c>
      <c r="H188" s="105" t="s">
        <v>77</v>
      </c>
      <c r="J188" s="74"/>
      <c r="K188" s="74"/>
    </row>
    <row r="189" spans="1:11" ht="85.5" customHeight="1">
      <c r="A189" s="61"/>
      <c r="B189" s="55"/>
      <c r="C189" s="48" t="s">
        <v>1153</v>
      </c>
      <c r="D189" s="37" t="s">
        <v>20</v>
      </c>
      <c r="E189" s="60">
        <f>(6.3*3.9)+(4.75*14.3)</f>
        <v>92.495</v>
      </c>
      <c r="F189" s="130">
        <v>4820000</v>
      </c>
      <c r="G189" s="125">
        <f aca="true" t="shared" si="8" ref="G189:G220">F189*E189</f>
        <v>445825900</v>
      </c>
      <c r="H189" s="106"/>
      <c r="J189" s="74"/>
      <c r="K189" s="74"/>
    </row>
    <row r="190" spans="1:11" ht="18.75">
      <c r="A190" s="61"/>
      <c r="B190" s="47"/>
      <c r="C190" s="48" t="s">
        <v>27</v>
      </c>
      <c r="D190" s="37" t="s">
        <v>32</v>
      </c>
      <c r="E190" s="60">
        <f>((0.4*0.4*2.7)*2)+((0.2*0.2*2.7)*2)+((0.4*0.4*3.2)*3)</f>
        <v>2.6160000000000005</v>
      </c>
      <c r="F190" s="125">
        <f>1854000</f>
        <v>1854000</v>
      </c>
      <c r="G190" s="125">
        <f t="shared" si="8"/>
        <v>4850064.000000001</v>
      </c>
      <c r="H190" s="106"/>
      <c r="J190" s="74"/>
      <c r="K190" s="74"/>
    </row>
    <row r="191" spans="1:11" ht="18.75">
      <c r="A191" s="61"/>
      <c r="B191" s="30"/>
      <c r="C191" s="48" t="s">
        <v>28</v>
      </c>
      <c r="D191" s="37" t="s">
        <v>20</v>
      </c>
      <c r="E191" s="60">
        <f>1.4*2</f>
        <v>2.8</v>
      </c>
      <c r="F191" s="125">
        <v>85000</v>
      </c>
      <c r="G191" s="125">
        <f t="shared" si="8"/>
        <v>237999.99999999997</v>
      </c>
      <c r="H191" s="105" t="s">
        <v>187</v>
      </c>
      <c r="J191" s="74"/>
      <c r="K191" s="74"/>
    </row>
    <row r="192" spans="1:11" ht="19.5" customHeight="1">
      <c r="A192" s="61"/>
      <c r="B192" s="30"/>
      <c r="C192" s="48" t="s">
        <v>209</v>
      </c>
      <c r="D192" s="37" t="s">
        <v>20</v>
      </c>
      <c r="E192" s="60">
        <f>((1.5*2.5*2.2)*3.2)</f>
        <v>26.400000000000002</v>
      </c>
      <c r="F192" s="125">
        <v>928000</v>
      </c>
      <c r="G192" s="125">
        <f t="shared" si="8"/>
        <v>24499200.000000004</v>
      </c>
      <c r="H192" s="106"/>
      <c r="J192" s="74"/>
      <c r="K192" s="74"/>
    </row>
    <row r="193" spans="1:11" ht="18.75">
      <c r="A193" s="61"/>
      <c r="B193" s="30"/>
      <c r="C193" s="48" t="s">
        <v>36</v>
      </c>
      <c r="D193" s="37" t="s">
        <v>20</v>
      </c>
      <c r="E193" s="60">
        <f>(1*1)+(27.5*4)+(3.8*2.65)+(1.2*2.8)+(2.7*2)</f>
        <v>129.82999999999998</v>
      </c>
      <c r="F193" s="125">
        <v>125000</v>
      </c>
      <c r="G193" s="125">
        <f t="shared" si="8"/>
        <v>16228749.999999998</v>
      </c>
      <c r="H193" s="106"/>
      <c r="J193" s="74"/>
      <c r="K193" s="74"/>
    </row>
    <row r="194" spans="1:11" ht="18.75">
      <c r="A194" s="61"/>
      <c r="B194" s="30"/>
      <c r="C194" s="48" t="s">
        <v>78</v>
      </c>
      <c r="D194" s="37" t="s">
        <v>32</v>
      </c>
      <c r="E194" s="60">
        <f>2.7*4.5*0.1</f>
        <v>1.215</v>
      </c>
      <c r="F194" s="125">
        <f>7030000</f>
        <v>7030000</v>
      </c>
      <c r="G194" s="125">
        <f t="shared" si="8"/>
        <v>8541450</v>
      </c>
      <c r="H194" s="106"/>
      <c r="J194" s="74"/>
      <c r="K194" s="74"/>
    </row>
    <row r="195" spans="1:11" ht="31.5">
      <c r="A195" s="61"/>
      <c r="B195" s="30"/>
      <c r="C195" s="48" t="s">
        <v>79</v>
      </c>
      <c r="D195" s="37" t="s">
        <v>20</v>
      </c>
      <c r="E195" s="60">
        <f>6.1*1.9</f>
        <v>11.589999999999998</v>
      </c>
      <c r="F195" s="125">
        <v>498000</v>
      </c>
      <c r="G195" s="125">
        <f t="shared" si="8"/>
        <v>5771819.999999999</v>
      </c>
      <c r="H195" s="106"/>
      <c r="J195" s="74"/>
      <c r="K195" s="74"/>
    </row>
    <row r="196" spans="1:11" ht="33.75" customHeight="1">
      <c r="A196" s="61"/>
      <c r="B196" s="30"/>
      <c r="C196" s="48" t="s">
        <v>35</v>
      </c>
      <c r="D196" s="37" t="s">
        <v>20</v>
      </c>
      <c r="E196" s="60">
        <f>4*2.5</f>
        <v>10</v>
      </c>
      <c r="F196" s="125">
        <v>325000</v>
      </c>
      <c r="G196" s="125">
        <f t="shared" si="8"/>
        <v>3250000</v>
      </c>
      <c r="H196" s="106"/>
      <c r="J196" s="74"/>
      <c r="K196" s="74"/>
    </row>
    <row r="197" spans="1:11" ht="37.5" customHeight="1">
      <c r="A197" s="61"/>
      <c r="B197" s="30"/>
      <c r="C197" s="48" t="s">
        <v>47</v>
      </c>
      <c r="D197" s="37" t="s">
        <v>20</v>
      </c>
      <c r="E197" s="60">
        <f>(3.5*4.4)+(5.9*2)</f>
        <v>27.200000000000003</v>
      </c>
      <c r="F197" s="125">
        <v>498000</v>
      </c>
      <c r="G197" s="125">
        <f t="shared" si="8"/>
        <v>13545600.000000002</v>
      </c>
      <c r="H197" s="106"/>
      <c r="J197" s="74"/>
      <c r="K197" s="74"/>
    </row>
    <row r="198" spans="1:11" ht="54" customHeight="1">
      <c r="A198" s="61"/>
      <c r="B198" s="30"/>
      <c r="C198" s="48" t="s">
        <v>80</v>
      </c>
      <c r="D198" s="37" t="s">
        <v>20</v>
      </c>
      <c r="E198" s="60">
        <f>8.5*1.9</f>
        <v>16.15</v>
      </c>
      <c r="F198" s="125">
        <f>695000</f>
        <v>695000</v>
      </c>
      <c r="G198" s="125">
        <f t="shared" si="8"/>
        <v>11224249.999999998</v>
      </c>
      <c r="H198" s="106"/>
      <c r="J198" s="74"/>
      <c r="K198" s="74"/>
    </row>
    <row r="199" spans="1:11" ht="31.5">
      <c r="A199" s="61"/>
      <c r="B199" s="30"/>
      <c r="C199" s="48" t="s">
        <v>81</v>
      </c>
      <c r="D199" s="37" t="s">
        <v>20</v>
      </c>
      <c r="E199" s="60">
        <f>(1.8*2.6)+(2.2*1.35)+(1.5*1)+(3.2*1.6)+(1*1)</f>
        <v>15.270000000000003</v>
      </c>
      <c r="F199" s="125">
        <f>293000</f>
        <v>293000</v>
      </c>
      <c r="G199" s="125">
        <f t="shared" si="8"/>
        <v>4474110.000000001</v>
      </c>
      <c r="H199" s="106"/>
      <c r="J199" s="74"/>
      <c r="K199" s="74"/>
    </row>
    <row r="200" spans="1:11" ht="18.75">
      <c r="A200" s="61"/>
      <c r="B200" s="30"/>
      <c r="C200" s="48" t="s">
        <v>82</v>
      </c>
      <c r="D200" s="37" t="s">
        <v>20</v>
      </c>
      <c r="E200" s="60">
        <f>(1.3*1.4)*7</f>
        <v>12.739999999999998</v>
      </c>
      <c r="F200" s="125">
        <v>57000</v>
      </c>
      <c r="G200" s="125">
        <f t="shared" si="8"/>
        <v>726179.9999999999</v>
      </c>
      <c r="H200" s="105" t="s">
        <v>187</v>
      </c>
      <c r="J200" s="74"/>
      <c r="K200" s="74"/>
    </row>
    <row r="201" spans="1:11" ht="31.5">
      <c r="A201" s="61"/>
      <c r="B201" s="30"/>
      <c r="C201" s="48" t="s">
        <v>83</v>
      </c>
      <c r="D201" s="37" t="s">
        <v>20</v>
      </c>
      <c r="E201" s="60">
        <f>((8+16)*1.5)+((12.5+2)*2)+((16+5.2)*1.5)+(50*1.5)</f>
        <v>171.8</v>
      </c>
      <c r="F201" s="125">
        <v>110000</v>
      </c>
      <c r="G201" s="125">
        <f t="shared" si="8"/>
        <v>18898000</v>
      </c>
      <c r="H201" s="106"/>
      <c r="J201" s="74"/>
      <c r="K201" s="74"/>
    </row>
    <row r="202" spans="1:11" ht="22.5" customHeight="1">
      <c r="A202" s="61"/>
      <c r="B202" s="30"/>
      <c r="C202" s="29" t="s">
        <v>836</v>
      </c>
      <c r="D202" s="64" t="s">
        <v>210</v>
      </c>
      <c r="E202" s="60">
        <v>20</v>
      </c>
      <c r="F202" s="125">
        <v>13640</v>
      </c>
      <c r="G202" s="125">
        <f t="shared" si="8"/>
        <v>272800</v>
      </c>
      <c r="H202" s="105" t="s">
        <v>903</v>
      </c>
      <c r="J202" s="74"/>
      <c r="K202" s="74"/>
    </row>
    <row r="203" spans="1:11" ht="22.5" customHeight="1">
      <c r="A203" s="61"/>
      <c r="B203" s="30"/>
      <c r="C203" s="29" t="s">
        <v>837</v>
      </c>
      <c r="D203" s="64" t="s">
        <v>210</v>
      </c>
      <c r="E203" s="60">
        <v>20</v>
      </c>
      <c r="F203" s="125">
        <v>35090</v>
      </c>
      <c r="G203" s="125">
        <f t="shared" si="8"/>
        <v>701800</v>
      </c>
      <c r="H203" s="105" t="s">
        <v>903</v>
      </c>
      <c r="J203" s="74"/>
      <c r="K203" s="74"/>
    </row>
    <row r="204" spans="1:11" ht="22.5" customHeight="1">
      <c r="A204" s="61"/>
      <c r="B204" s="30"/>
      <c r="C204" s="29" t="s">
        <v>41</v>
      </c>
      <c r="D204" s="221" t="s">
        <v>42</v>
      </c>
      <c r="E204" s="60">
        <v>1</v>
      </c>
      <c r="F204" s="125">
        <v>238000</v>
      </c>
      <c r="G204" s="125">
        <f t="shared" si="8"/>
        <v>238000</v>
      </c>
      <c r="H204" s="106"/>
      <c r="J204" s="74"/>
      <c r="K204" s="74"/>
    </row>
    <row r="205" spans="1:11" ht="22.5" customHeight="1">
      <c r="A205" s="61"/>
      <c r="B205" s="30"/>
      <c r="C205" s="29" t="s">
        <v>1012</v>
      </c>
      <c r="D205" s="221" t="s">
        <v>43</v>
      </c>
      <c r="E205" s="60">
        <v>1</v>
      </c>
      <c r="F205" s="125">
        <v>100000</v>
      </c>
      <c r="G205" s="125">
        <f t="shared" si="8"/>
        <v>100000</v>
      </c>
      <c r="H205" s="106"/>
      <c r="J205" s="74"/>
      <c r="K205" s="74"/>
    </row>
    <row r="206" spans="1:11" ht="22.5" customHeight="1">
      <c r="A206" s="61"/>
      <c r="B206" s="30"/>
      <c r="C206" s="29" t="s">
        <v>1013</v>
      </c>
      <c r="D206" s="221" t="s">
        <v>43</v>
      </c>
      <c r="E206" s="60">
        <v>1</v>
      </c>
      <c r="F206" s="125">
        <v>600000</v>
      </c>
      <c r="G206" s="125">
        <f t="shared" si="8"/>
        <v>600000</v>
      </c>
      <c r="H206" s="106"/>
      <c r="J206" s="74"/>
      <c r="K206" s="74"/>
    </row>
    <row r="207" spans="1:11" ht="22.5" customHeight="1">
      <c r="A207" s="61"/>
      <c r="B207" s="30"/>
      <c r="C207" s="29" t="s">
        <v>1014</v>
      </c>
      <c r="D207" s="221" t="s">
        <v>43</v>
      </c>
      <c r="E207" s="60">
        <v>1</v>
      </c>
      <c r="F207" s="125">
        <v>600000</v>
      </c>
      <c r="G207" s="125">
        <f t="shared" si="8"/>
        <v>600000</v>
      </c>
      <c r="H207" s="106"/>
      <c r="J207" s="74"/>
      <c r="K207" s="74"/>
    </row>
    <row r="208" spans="1:11" ht="22.5" customHeight="1">
      <c r="A208" s="61"/>
      <c r="B208" s="30"/>
      <c r="C208" s="29" t="s">
        <v>1015</v>
      </c>
      <c r="D208" s="221" t="s">
        <v>43</v>
      </c>
      <c r="E208" s="60">
        <v>4</v>
      </c>
      <c r="F208" s="125">
        <v>1800000</v>
      </c>
      <c r="G208" s="125">
        <f t="shared" si="8"/>
        <v>7200000</v>
      </c>
      <c r="H208" s="106"/>
      <c r="J208" s="74"/>
      <c r="K208" s="74"/>
    </row>
    <row r="209" spans="1:11" ht="22.5" customHeight="1">
      <c r="A209" s="61"/>
      <c r="B209" s="30"/>
      <c r="C209" s="29" t="s">
        <v>1016</v>
      </c>
      <c r="D209" s="221" t="s">
        <v>43</v>
      </c>
      <c r="E209" s="60">
        <v>2</v>
      </c>
      <c r="F209" s="125">
        <v>400000</v>
      </c>
      <c r="G209" s="125">
        <f t="shared" si="8"/>
        <v>800000</v>
      </c>
      <c r="H209" s="106"/>
      <c r="J209" s="74"/>
      <c r="K209" s="74"/>
    </row>
    <row r="210" spans="1:11" ht="22.5" customHeight="1">
      <c r="A210" s="61"/>
      <c r="B210" s="30"/>
      <c r="C210" s="29" t="s">
        <v>1017</v>
      </c>
      <c r="D210" s="221" t="s">
        <v>43</v>
      </c>
      <c r="E210" s="60">
        <v>1</v>
      </c>
      <c r="F210" s="125">
        <v>800000</v>
      </c>
      <c r="G210" s="125">
        <f t="shared" si="8"/>
        <v>800000</v>
      </c>
      <c r="H210" s="106"/>
      <c r="J210" s="74"/>
      <c r="K210" s="74"/>
    </row>
    <row r="211" spans="1:11" ht="22.5" customHeight="1">
      <c r="A211" s="61"/>
      <c r="B211" s="30"/>
      <c r="C211" s="29" t="s">
        <v>832</v>
      </c>
      <c r="D211" s="221" t="s">
        <v>37</v>
      </c>
      <c r="E211" s="60">
        <v>35</v>
      </c>
      <c r="F211" s="125">
        <v>40000</v>
      </c>
      <c r="G211" s="125">
        <f t="shared" si="8"/>
        <v>1400000</v>
      </c>
      <c r="H211" s="106" t="s">
        <v>187</v>
      </c>
      <c r="J211" s="74"/>
      <c r="K211" s="74"/>
    </row>
    <row r="212" spans="1:11" ht="22.5" customHeight="1">
      <c r="A212" s="61"/>
      <c r="B212" s="30"/>
      <c r="C212" s="29" t="s">
        <v>830</v>
      </c>
      <c r="D212" s="221" t="s">
        <v>37</v>
      </c>
      <c r="E212" s="60">
        <v>50</v>
      </c>
      <c r="F212" s="125">
        <v>20000</v>
      </c>
      <c r="G212" s="125">
        <f t="shared" si="8"/>
        <v>1000000</v>
      </c>
      <c r="H212" s="106" t="s">
        <v>187</v>
      </c>
      <c r="J212" s="74"/>
      <c r="K212" s="74"/>
    </row>
    <row r="213" spans="1:11" ht="22.5" customHeight="1">
      <c r="A213" s="61"/>
      <c r="B213" s="30"/>
      <c r="C213" s="29" t="s">
        <v>833</v>
      </c>
      <c r="D213" s="221" t="s">
        <v>37</v>
      </c>
      <c r="E213" s="60">
        <v>20</v>
      </c>
      <c r="F213" s="125">
        <v>20000</v>
      </c>
      <c r="G213" s="125">
        <f t="shared" si="8"/>
        <v>400000</v>
      </c>
      <c r="H213" s="106" t="s">
        <v>187</v>
      </c>
      <c r="J213" s="74"/>
      <c r="K213" s="74"/>
    </row>
    <row r="214" spans="1:11" ht="22.5" customHeight="1">
      <c r="A214" s="61"/>
      <c r="B214" s="30"/>
      <c r="C214" s="29" t="s">
        <v>1018</v>
      </c>
      <c r="D214" s="221" t="s">
        <v>43</v>
      </c>
      <c r="E214" s="60">
        <v>1</v>
      </c>
      <c r="F214" s="125">
        <v>682000</v>
      </c>
      <c r="G214" s="125">
        <f t="shared" si="8"/>
        <v>682000</v>
      </c>
      <c r="H214" s="106"/>
      <c r="J214" s="74"/>
      <c r="K214" s="74"/>
    </row>
    <row r="215" spans="1:11" ht="22.5" customHeight="1">
      <c r="A215" s="61"/>
      <c r="B215" s="30"/>
      <c r="C215" s="29" t="s">
        <v>1019</v>
      </c>
      <c r="D215" s="221" t="s">
        <v>43</v>
      </c>
      <c r="E215" s="60">
        <v>1</v>
      </c>
      <c r="F215" s="125">
        <v>1800000</v>
      </c>
      <c r="G215" s="125">
        <f t="shared" si="8"/>
        <v>1800000</v>
      </c>
      <c r="H215" s="106"/>
      <c r="J215" s="74"/>
      <c r="K215" s="74"/>
    </row>
    <row r="216" spans="1:11" ht="22.5" customHeight="1">
      <c r="A216" s="61"/>
      <c r="B216" s="30"/>
      <c r="C216" s="29" t="s">
        <v>1020</v>
      </c>
      <c r="D216" s="221" t="s">
        <v>43</v>
      </c>
      <c r="E216" s="60">
        <v>5</v>
      </c>
      <c r="F216" s="125">
        <v>227000</v>
      </c>
      <c r="G216" s="125">
        <f t="shared" si="8"/>
        <v>1135000</v>
      </c>
      <c r="H216" s="106"/>
      <c r="J216" s="74"/>
      <c r="K216" s="74"/>
    </row>
    <row r="217" spans="1:11" ht="44.25" customHeight="1">
      <c r="A217" s="61"/>
      <c r="B217" s="30"/>
      <c r="C217" s="29" t="s">
        <v>1021</v>
      </c>
      <c r="D217" s="221" t="s">
        <v>43</v>
      </c>
      <c r="E217" s="60">
        <v>2</v>
      </c>
      <c r="F217" s="125">
        <v>200000</v>
      </c>
      <c r="G217" s="125">
        <f t="shared" si="8"/>
        <v>400000</v>
      </c>
      <c r="H217" s="106"/>
      <c r="J217" s="74"/>
      <c r="K217" s="74"/>
    </row>
    <row r="218" spans="1:11" ht="22.5" customHeight="1">
      <c r="A218" s="61"/>
      <c r="B218" s="30"/>
      <c r="C218" s="29" t="s">
        <v>1022</v>
      </c>
      <c r="D218" s="221" t="s">
        <v>43</v>
      </c>
      <c r="E218" s="60">
        <v>2</v>
      </c>
      <c r="F218" s="125">
        <v>1200000</v>
      </c>
      <c r="G218" s="125">
        <f t="shared" si="8"/>
        <v>2400000</v>
      </c>
      <c r="H218" s="106"/>
      <c r="J218" s="74"/>
      <c r="K218" s="74"/>
    </row>
    <row r="219" spans="1:11" ht="22.5" customHeight="1">
      <c r="A219" s="61"/>
      <c r="B219" s="30"/>
      <c r="C219" s="29" t="s">
        <v>1023</v>
      </c>
      <c r="D219" s="221" t="s">
        <v>43</v>
      </c>
      <c r="E219" s="60">
        <v>200</v>
      </c>
      <c r="F219" s="125">
        <v>2000</v>
      </c>
      <c r="G219" s="125">
        <f t="shared" si="8"/>
        <v>400000</v>
      </c>
      <c r="H219" s="106"/>
      <c r="J219" s="74"/>
      <c r="K219" s="74"/>
    </row>
    <row r="220" spans="1:11" ht="22.5" customHeight="1">
      <c r="A220" s="61"/>
      <c r="B220" s="30"/>
      <c r="C220" s="29" t="s">
        <v>999</v>
      </c>
      <c r="D220" s="221" t="s">
        <v>43</v>
      </c>
      <c r="E220" s="60">
        <v>10</v>
      </c>
      <c r="F220" s="125">
        <v>180000</v>
      </c>
      <c r="G220" s="125">
        <f t="shared" si="8"/>
        <v>1800000</v>
      </c>
      <c r="H220" s="106"/>
      <c r="J220" s="74"/>
      <c r="K220" s="74"/>
    </row>
    <row r="221" spans="1:11" ht="25.5" customHeight="1">
      <c r="A221" s="42"/>
      <c r="B221" s="43" t="s">
        <v>5</v>
      </c>
      <c r="C221" s="44"/>
      <c r="D221" s="45"/>
      <c r="E221" s="46"/>
      <c r="F221" s="133"/>
      <c r="G221" s="156">
        <f>SUM(G178:G220)</f>
        <v>7212520024</v>
      </c>
      <c r="H221" s="261"/>
      <c r="J221" s="74"/>
      <c r="K221" s="74"/>
    </row>
    <row r="222" spans="1:11" ht="118.5" customHeight="1">
      <c r="A222" s="54">
        <v>14</v>
      </c>
      <c r="B222" s="55" t="s">
        <v>84</v>
      </c>
      <c r="C222" s="56" t="s">
        <v>102</v>
      </c>
      <c r="D222" s="37" t="s">
        <v>20</v>
      </c>
      <c r="E222" s="57">
        <f>(5*12)+(4*5.6)</f>
        <v>82.4</v>
      </c>
      <c r="F222" s="125">
        <f>3230000-(8%*3230000)</f>
        <v>2971600</v>
      </c>
      <c r="G222" s="125">
        <f>F222*E222</f>
        <v>244859840.00000003</v>
      </c>
      <c r="H222" s="216" t="s">
        <v>759</v>
      </c>
      <c r="J222" s="74"/>
      <c r="K222" s="74"/>
    </row>
    <row r="223" spans="1:11" ht="38.25" customHeight="1">
      <c r="A223" s="61"/>
      <c r="B223" s="62" t="s">
        <v>86</v>
      </c>
      <c r="C223" s="48" t="s">
        <v>87</v>
      </c>
      <c r="D223" s="37" t="s">
        <v>20</v>
      </c>
      <c r="E223" s="60">
        <f>(5*24)+(5.8*5.6)+(0.8*12)</f>
        <v>162.07999999999998</v>
      </c>
      <c r="F223" s="125">
        <v>498000</v>
      </c>
      <c r="G223" s="125">
        <f aca="true" t="shared" si="9" ref="G223:G231">F223*E223</f>
        <v>80715839.99999999</v>
      </c>
      <c r="H223" s="106"/>
      <c r="J223" s="74"/>
      <c r="K223" s="74"/>
    </row>
    <row r="224" spans="1:11" ht="51" customHeight="1">
      <c r="A224" s="61"/>
      <c r="B224" s="30" t="s">
        <v>516</v>
      </c>
      <c r="C224" s="48" t="s">
        <v>36</v>
      </c>
      <c r="D224" s="37" t="s">
        <v>20</v>
      </c>
      <c r="E224" s="50">
        <f>5.3*2.5</f>
        <v>13.25</v>
      </c>
      <c r="F224" s="125">
        <v>125000</v>
      </c>
      <c r="G224" s="125">
        <f t="shared" si="9"/>
        <v>1656250</v>
      </c>
      <c r="H224" s="106"/>
      <c r="J224" s="74"/>
      <c r="K224" s="74"/>
    </row>
    <row r="225" spans="1:11" ht="18.75">
      <c r="A225" s="61"/>
      <c r="B225" s="62" t="s">
        <v>85</v>
      </c>
      <c r="C225" s="29" t="s">
        <v>25</v>
      </c>
      <c r="D225" s="37" t="s">
        <v>32</v>
      </c>
      <c r="E225" s="50">
        <f>(16*2*0.1)+((14*2)*0.1)+(4*2*0.1)-(9.75*2*0.1)</f>
        <v>4.85</v>
      </c>
      <c r="F225" s="125">
        <f>1250000</f>
        <v>1250000</v>
      </c>
      <c r="G225" s="125">
        <f t="shared" si="9"/>
        <v>6062500</v>
      </c>
      <c r="H225" s="106"/>
      <c r="J225" s="74"/>
      <c r="K225" s="74"/>
    </row>
    <row r="226" spans="1:11" ht="21" customHeight="1">
      <c r="A226" s="61"/>
      <c r="B226" s="62"/>
      <c r="C226" s="29" t="s">
        <v>26</v>
      </c>
      <c r="D226" s="37" t="s">
        <v>20</v>
      </c>
      <c r="E226" s="50">
        <f>(16*2)+(14*2)+(4*2)+((0.3*2.5)*2)</f>
        <v>69.5</v>
      </c>
      <c r="F226" s="130">
        <v>82000</v>
      </c>
      <c r="G226" s="125">
        <f t="shared" si="9"/>
        <v>5699000</v>
      </c>
      <c r="H226" s="106"/>
      <c r="J226" s="74"/>
      <c r="K226" s="74"/>
    </row>
    <row r="227" spans="1:11" ht="21" customHeight="1">
      <c r="A227" s="61"/>
      <c r="B227" s="62"/>
      <c r="C227" s="29" t="s">
        <v>28</v>
      </c>
      <c r="D227" s="37" t="s">
        <v>20</v>
      </c>
      <c r="E227" s="50">
        <f>(2.3*2.5)+(2.5*2.5)</f>
        <v>12</v>
      </c>
      <c r="F227" s="125">
        <v>85000</v>
      </c>
      <c r="G227" s="125">
        <f t="shared" si="9"/>
        <v>1020000</v>
      </c>
      <c r="H227" s="105" t="s">
        <v>187</v>
      </c>
      <c r="J227" s="74"/>
      <c r="K227" s="74"/>
    </row>
    <row r="228" spans="1:11" ht="21" customHeight="1">
      <c r="A228" s="61"/>
      <c r="B228" s="62"/>
      <c r="C228" s="29" t="s">
        <v>843</v>
      </c>
      <c r="D228" s="64" t="s">
        <v>210</v>
      </c>
      <c r="E228" s="50">
        <v>10</v>
      </c>
      <c r="F228" s="130">
        <v>106810</v>
      </c>
      <c r="G228" s="125">
        <f t="shared" si="9"/>
        <v>1068100</v>
      </c>
      <c r="H228" s="105" t="s">
        <v>903</v>
      </c>
      <c r="J228" s="74"/>
      <c r="K228" s="74"/>
    </row>
    <row r="229" spans="1:11" ht="21" customHeight="1">
      <c r="A229" s="61"/>
      <c r="B229" s="62"/>
      <c r="C229" s="29" t="s">
        <v>836</v>
      </c>
      <c r="D229" s="64" t="s">
        <v>210</v>
      </c>
      <c r="E229" s="50">
        <v>43</v>
      </c>
      <c r="F229" s="125">
        <v>13640</v>
      </c>
      <c r="G229" s="125">
        <f t="shared" si="9"/>
        <v>586520</v>
      </c>
      <c r="H229" s="105" t="s">
        <v>903</v>
      </c>
      <c r="J229" s="74"/>
      <c r="K229" s="74"/>
    </row>
    <row r="230" spans="1:11" ht="21" customHeight="1">
      <c r="A230" s="61"/>
      <c r="B230" s="30"/>
      <c r="C230" s="29" t="s">
        <v>873</v>
      </c>
      <c r="D230" s="64" t="s">
        <v>210</v>
      </c>
      <c r="E230" s="60">
        <v>30</v>
      </c>
      <c r="F230" s="125">
        <v>9680</v>
      </c>
      <c r="G230" s="125">
        <f t="shared" si="9"/>
        <v>290400</v>
      </c>
      <c r="H230" s="105" t="s">
        <v>903</v>
      </c>
      <c r="J230" s="74"/>
      <c r="K230" s="74"/>
    </row>
    <row r="231" spans="1:11" ht="21" customHeight="1">
      <c r="A231" s="61"/>
      <c r="B231" s="30"/>
      <c r="C231" s="48" t="s">
        <v>190</v>
      </c>
      <c r="D231" s="49" t="s">
        <v>189</v>
      </c>
      <c r="E231" s="60">
        <v>1</v>
      </c>
      <c r="F231" s="130">
        <f>2500000+(100000*5)</f>
        <v>3000000</v>
      </c>
      <c r="G231" s="125">
        <f t="shared" si="9"/>
        <v>3000000</v>
      </c>
      <c r="H231" s="106"/>
      <c r="J231" s="74"/>
      <c r="K231" s="74"/>
    </row>
    <row r="232" spans="1:11" ht="21" customHeight="1">
      <c r="A232" s="42"/>
      <c r="B232" s="43" t="s">
        <v>5</v>
      </c>
      <c r="C232" s="44"/>
      <c r="D232" s="45"/>
      <c r="E232" s="46"/>
      <c r="F232" s="133"/>
      <c r="G232" s="156">
        <f>SUM(G222:G231)</f>
        <v>344958450</v>
      </c>
      <c r="H232" s="261"/>
      <c r="J232" s="74"/>
      <c r="K232" s="74"/>
    </row>
    <row r="233" spans="1:11" ht="31.5">
      <c r="A233" s="54">
        <v>15</v>
      </c>
      <c r="B233" s="55" t="s">
        <v>88</v>
      </c>
      <c r="C233" s="56" t="s">
        <v>619</v>
      </c>
      <c r="D233" s="37" t="s">
        <v>20</v>
      </c>
      <c r="E233" s="57">
        <v>122.8</v>
      </c>
      <c r="F233" s="125"/>
      <c r="G233" s="125"/>
      <c r="H233" s="259"/>
      <c r="J233" s="74"/>
      <c r="K233" s="74"/>
    </row>
    <row r="234" spans="1:11" ht="15.75">
      <c r="A234" s="54"/>
      <c r="B234" s="62" t="s">
        <v>17</v>
      </c>
      <c r="C234" s="48" t="s">
        <v>195</v>
      </c>
      <c r="D234" s="37"/>
      <c r="E234" s="84"/>
      <c r="F234" s="125"/>
      <c r="G234" s="125"/>
      <c r="H234" s="106"/>
      <c r="J234" s="74"/>
      <c r="K234" s="74"/>
    </row>
    <row r="235" spans="1:11" ht="90" customHeight="1">
      <c r="A235" s="54"/>
      <c r="B235" s="30" t="s">
        <v>517</v>
      </c>
      <c r="C235" s="29" t="s">
        <v>785</v>
      </c>
      <c r="D235" s="37" t="s">
        <v>20</v>
      </c>
      <c r="E235" s="84">
        <v>122.8</v>
      </c>
      <c r="F235" s="125">
        <v>5003000</v>
      </c>
      <c r="G235" s="125">
        <f>F235*E235</f>
        <v>614368400</v>
      </c>
      <c r="H235" s="144"/>
      <c r="J235" s="74"/>
      <c r="K235" s="74"/>
    </row>
    <row r="236" spans="1:11" ht="59.25" customHeight="1">
      <c r="A236" s="61"/>
      <c r="B236" s="62" t="s">
        <v>18</v>
      </c>
      <c r="C236" s="30" t="s">
        <v>89</v>
      </c>
      <c r="D236" s="37" t="s">
        <v>20</v>
      </c>
      <c r="E236" s="60">
        <f>(5*7.7)+(6.4*8.2)</f>
        <v>90.97999999999999</v>
      </c>
      <c r="F236" s="130">
        <f>3230000</f>
        <v>3230000</v>
      </c>
      <c r="G236" s="125">
        <f>F236*E236</f>
        <v>293865399.99999994</v>
      </c>
      <c r="H236" s="213"/>
      <c r="J236" s="74"/>
      <c r="K236" s="74"/>
    </row>
    <row r="237" spans="1:11" ht="116.25" customHeight="1">
      <c r="A237" s="61"/>
      <c r="B237" s="62"/>
      <c r="C237" s="30" t="s">
        <v>1154</v>
      </c>
      <c r="D237" s="37" t="s">
        <v>20</v>
      </c>
      <c r="E237" s="50">
        <f>1.2*4.2</f>
        <v>5.04</v>
      </c>
      <c r="F237" s="125">
        <f>3230000-150000-160000</f>
        <v>2920000</v>
      </c>
      <c r="G237" s="125">
        <f aca="true" t="shared" si="10" ref="G237:G245">F237*E237</f>
        <v>14716800</v>
      </c>
      <c r="H237" s="216" t="s">
        <v>760</v>
      </c>
      <c r="J237" s="74"/>
      <c r="K237" s="74"/>
    </row>
    <row r="238" spans="1:11" ht="31.5">
      <c r="A238" s="61"/>
      <c r="B238" s="62"/>
      <c r="C238" s="29" t="s">
        <v>204</v>
      </c>
      <c r="D238" s="37" t="s">
        <v>20</v>
      </c>
      <c r="E238" s="50">
        <f>(1.9*2)+(0.6*2)</f>
        <v>5</v>
      </c>
      <c r="F238" s="125">
        <f>2450000</f>
        <v>2450000</v>
      </c>
      <c r="G238" s="125">
        <f t="shared" si="10"/>
        <v>12250000</v>
      </c>
      <c r="H238" s="106"/>
      <c r="J238" s="74"/>
      <c r="K238" s="74"/>
    </row>
    <row r="239" spans="1:11" ht="18.75">
      <c r="A239" s="61"/>
      <c r="B239" s="62"/>
      <c r="C239" s="29" t="s">
        <v>90</v>
      </c>
      <c r="D239" s="37" t="s">
        <v>20</v>
      </c>
      <c r="E239" s="50">
        <f>2*4.1</f>
        <v>8.2</v>
      </c>
      <c r="F239" s="125">
        <v>150000</v>
      </c>
      <c r="G239" s="125">
        <f t="shared" si="10"/>
        <v>1230000</v>
      </c>
      <c r="H239" s="106"/>
      <c r="J239" s="74"/>
      <c r="K239" s="74"/>
    </row>
    <row r="240" spans="1:11" ht="31.5">
      <c r="A240" s="61"/>
      <c r="B240" s="62"/>
      <c r="C240" s="29" t="s">
        <v>788</v>
      </c>
      <c r="D240" s="37" t="s">
        <v>20</v>
      </c>
      <c r="E240" s="50">
        <f>(6.7*2.2)+(2.5*7.7)+(1.2*4)</f>
        <v>38.79</v>
      </c>
      <c r="F240" s="125">
        <v>498000</v>
      </c>
      <c r="G240" s="125">
        <f t="shared" si="10"/>
        <v>19317420</v>
      </c>
      <c r="H240" s="106"/>
      <c r="J240" s="74"/>
      <c r="K240" s="74"/>
    </row>
    <row r="241" spans="1:11" ht="21.75" customHeight="1">
      <c r="A241" s="61"/>
      <c r="B241" s="62"/>
      <c r="C241" s="29" t="s">
        <v>41</v>
      </c>
      <c r="D241" s="49" t="s">
        <v>42</v>
      </c>
      <c r="E241" s="50">
        <v>1</v>
      </c>
      <c r="F241" s="125">
        <v>238000</v>
      </c>
      <c r="G241" s="125">
        <f t="shared" si="10"/>
        <v>238000</v>
      </c>
      <c r="H241" s="106"/>
      <c r="J241" s="74"/>
      <c r="K241" s="74"/>
    </row>
    <row r="242" spans="1:11" ht="21.75" customHeight="1">
      <c r="A242" s="61"/>
      <c r="B242" s="62"/>
      <c r="C242" s="29" t="s">
        <v>830</v>
      </c>
      <c r="D242" s="49" t="s">
        <v>37</v>
      </c>
      <c r="E242" s="50">
        <v>27</v>
      </c>
      <c r="F242" s="125">
        <v>20000</v>
      </c>
      <c r="G242" s="125">
        <f t="shared" si="10"/>
        <v>540000</v>
      </c>
      <c r="H242" s="106" t="s">
        <v>187</v>
      </c>
      <c r="J242" s="74"/>
      <c r="K242" s="74"/>
    </row>
    <row r="243" spans="1:11" ht="21.75" customHeight="1">
      <c r="A243" s="61"/>
      <c r="B243" s="62"/>
      <c r="C243" s="29" t="s">
        <v>827</v>
      </c>
      <c r="D243" s="49" t="s">
        <v>37</v>
      </c>
      <c r="E243" s="50">
        <v>19</v>
      </c>
      <c r="F243" s="125">
        <v>20000</v>
      </c>
      <c r="G243" s="125">
        <f t="shared" si="10"/>
        <v>380000</v>
      </c>
      <c r="H243" s="106" t="s">
        <v>187</v>
      </c>
      <c r="J243" s="74"/>
      <c r="K243" s="74"/>
    </row>
    <row r="244" spans="1:11" ht="21.75" customHeight="1">
      <c r="A244" s="61"/>
      <c r="B244" s="62"/>
      <c r="C244" s="29" t="s">
        <v>833</v>
      </c>
      <c r="D244" s="49" t="s">
        <v>37</v>
      </c>
      <c r="E244" s="50">
        <v>6</v>
      </c>
      <c r="F244" s="125">
        <v>20000</v>
      </c>
      <c r="G244" s="125">
        <f t="shared" si="10"/>
        <v>120000</v>
      </c>
      <c r="H244" s="106" t="s">
        <v>187</v>
      </c>
      <c r="J244" s="74"/>
      <c r="K244" s="74"/>
    </row>
    <row r="245" spans="1:11" ht="21.75" customHeight="1">
      <c r="A245" s="61"/>
      <c r="B245" s="30"/>
      <c r="C245" s="29" t="s">
        <v>828</v>
      </c>
      <c r="D245" s="49" t="s">
        <v>37</v>
      </c>
      <c r="E245" s="60">
        <v>5</v>
      </c>
      <c r="F245" s="125">
        <v>40000</v>
      </c>
      <c r="G245" s="125">
        <f t="shared" si="10"/>
        <v>200000</v>
      </c>
      <c r="H245" s="106" t="s">
        <v>187</v>
      </c>
      <c r="J245" s="74"/>
      <c r="K245" s="74"/>
    </row>
    <row r="246" spans="1:11" ht="21.75" customHeight="1">
      <c r="A246" s="42"/>
      <c r="B246" s="43" t="s">
        <v>5</v>
      </c>
      <c r="C246" s="44"/>
      <c r="D246" s="45"/>
      <c r="E246" s="46"/>
      <c r="F246" s="133"/>
      <c r="G246" s="156">
        <f>SUM(G233:G245)</f>
        <v>957226020</v>
      </c>
      <c r="H246" s="261"/>
      <c r="J246" s="74"/>
      <c r="K246" s="74"/>
    </row>
    <row r="247" spans="1:11" ht="31.5">
      <c r="A247" s="54">
        <v>16</v>
      </c>
      <c r="B247" s="55" t="s">
        <v>91</v>
      </c>
      <c r="C247" s="56" t="s">
        <v>620</v>
      </c>
      <c r="D247" s="37" t="s">
        <v>20</v>
      </c>
      <c r="E247" s="57">
        <v>70.4</v>
      </c>
      <c r="F247" s="134"/>
      <c r="G247" s="154"/>
      <c r="H247" s="259"/>
      <c r="J247" s="74"/>
      <c r="K247" s="74"/>
    </row>
    <row r="248" spans="1:11" ht="21" customHeight="1">
      <c r="A248" s="54"/>
      <c r="B248" s="62" t="s">
        <v>93</v>
      </c>
      <c r="C248" s="29" t="s">
        <v>195</v>
      </c>
      <c r="D248" s="37"/>
      <c r="E248" s="77"/>
      <c r="F248" s="125"/>
      <c r="G248" s="206"/>
      <c r="H248" s="105"/>
      <c r="J248" s="74"/>
      <c r="K248" s="74"/>
    </row>
    <row r="249" spans="1:11" ht="100.5" customHeight="1">
      <c r="A249" s="54"/>
      <c r="B249" s="30" t="s">
        <v>890</v>
      </c>
      <c r="C249" s="29" t="s">
        <v>789</v>
      </c>
      <c r="D249" s="37" t="s">
        <v>20</v>
      </c>
      <c r="E249" s="84">
        <v>70.4</v>
      </c>
      <c r="F249" s="125">
        <v>5670000</v>
      </c>
      <c r="G249" s="125">
        <f>F249*E249</f>
        <v>399168000.00000006</v>
      </c>
      <c r="H249" s="105"/>
      <c r="J249" s="74"/>
      <c r="K249" s="74"/>
    </row>
    <row r="250" spans="1:11" ht="63.75" customHeight="1">
      <c r="A250" s="54"/>
      <c r="B250" s="62" t="s">
        <v>92</v>
      </c>
      <c r="C250" s="30" t="s">
        <v>183</v>
      </c>
      <c r="D250" s="37" t="s">
        <v>20</v>
      </c>
      <c r="E250" s="60">
        <f>6*8.7</f>
        <v>52.199999999999996</v>
      </c>
      <c r="F250" s="130">
        <f>3230000-(8%*3230000)-(5%*3230000)</f>
        <v>2810100</v>
      </c>
      <c r="G250" s="125">
        <f>F250*E250</f>
        <v>146687220</v>
      </c>
      <c r="H250" s="213" t="s">
        <v>761</v>
      </c>
      <c r="J250" s="74"/>
      <c r="K250" s="74"/>
    </row>
    <row r="251" spans="1:11" ht="69.75" customHeight="1">
      <c r="A251" s="54"/>
      <c r="B251" s="30"/>
      <c r="C251" s="29" t="s">
        <v>103</v>
      </c>
      <c r="D251" s="37" t="s">
        <v>20</v>
      </c>
      <c r="E251" s="84">
        <f>5.45*6.25</f>
        <v>34.0625</v>
      </c>
      <c r="F251" s="125">
        <v>821000</v>
      </c>
      <c r="G251" s="125">
        <f aca="true" t="shared" si="11" ref="G251:G265">F251*E251</f>
        <v>27965312.5</v>
      </c>
      <c r="H251" s="105"/>
      <c r="J251" s="74"/>
      <c r="K251" s="74"/>
    </row>
    <row r="252" spans="1:11" ht="18.75">
      <c r="A252" s="54"/>
      <c r="B252" s="30"/>
      <c r="C252" s="29" t="s">
        <v>104</v>
      </c>
      <c r="D252" s="37" t="s">
        <v>32</v>
      </c>
      <c r="E252" s="50">
        <f>0.8*4.1*0.1</f>
        <v>0.328</v>
      </c>
      <c r="F252" s="125">
        <f>7030000</f>
        <v>7030000</v>
      </c>
      <c r="G252" s="125">
        <f t="shared" si="11"/>
        <v>2305840</v>
      </c>
      <c r="H252" s="105"/>
      <c r="J252" s="74"/>
      <c r="K252" s="74"/>
    </row>
    <row r="253" spans="1:11" ht="31.5">
      <c r="A253" s="54"/>
      <c r="B253" s="30"/>
      <c r="C253" s="48" t="s">
        <v>313</v>
      </c>
      <c r="D253" s="37" t="s">
        <v>20</v>
      </c>
      <c r="E253" s="50">
        <f>6.2*2.8</f>
        <v>17.36</v>
      </c>
      <c r="F253" s="125">
        <v>150000</v>
      </c>
      <c r="G253" s="125">
        <f t="shared" si="11"/>
        <v>2604000</v>
      </c>
      <c r="H253" s="105"/>
      <c r="J253" s="74"/>
      <c r="K253" s="74"/>
    </row>
    <row r="254" spans="1:11" ht="31.5">
      <c r="A254" s="54"/>
      <c r="B254" s="30"/>
      <c r="C254" s="48" t="s">
        <v>40</v>
      </c>
      <c r="D254" s="37" t="s">
        <v>20</v>
      </c>
      <c r="E254" s="50">
        <f>0.9*5.1</f>
        <v>4.59</v>
      </c>
      <c r="F254" s="125">
        <v>498000</v>
      </c>
      <c r="G254" s="125">
        <f t="shared" si="11"/>
        <v>2285820</v>
      </c>
      <c r="H254" s="105"/>
      <c r="J254" s="74"/>
      <c r="K254" s="74"/>
    </row>
    <row r="255" spans="1:11" ht="31.5">
      <c r="A255" s="54"/>
      <c r="B255" s="30"/>
      <c r="C255" s="29" t="s">
        <v>105</v>
      </c>
      <c r="D255" s="37" t="s">
        <v>20</v>
      </c>
      <c r="E255" s="50">
        <f>(1.3+4.1)*2.2</f>
        <v>11.879999999999999</v>
      </c>
      <c r="F255" s="125">
        <v>325000</v>
      </c>
      <c r="G255" s="125">
        <f t="shared" si="11"/>
        <v>3860999.9999999995</v>
      </c>
      <c r="H255" s="106"/>
      <c r="I255" s="110"/>
      <c r="J255" s="74"/>
      <c r="K255" s="74"/>
    </row>
    <row r="256" spans="1:11" ht="20.25" customHeight="1">
      <c r="A256" s="54"/>
      <c r="B256" s="30"/>
      <c r="C256" s="29" t="s">
        <v>27</v>
      </c>
      <c r="D256" s="37" t="s">
        <v>32</v>
      </c>
      <c r="E256" s="50">
        <f>(0.3*0.3*1.8)*2</f>
        <v>0.324</v>
      </c>
      <c r="F256" s="125">
        <f>1854000</f>
        <v>1854000</v>
      </c>
      <c r="G256" s="125">
        <f t="shared" si="11"/>
        <v>600696</v>
      </c>
      <c r="H256" s="105"/>
      <c r="J256" s="74"/>
      <c r="K256" s="74"/>
    </row>
    <row r="257" spans="1:11" ht="20.25" customHeight="1">
      <c r="A257" s="54"/>
      <c r="B257" s="30"/>
      <c r="C257" s="29" t="s">
        <v>194</v>
      </c>
      <c r="D257" s="37" t="s">
        <v>20</v>
      </c>
      <c r="E257" s="50">
        <f>(0.3*0.8)*4*2</f>
        <v>1.92</v>
      </c>
      <c r="F257" s="125">
        <v>175000</v>
      </c>
      <c r="G257" s="125">
        <f t="shared" si="11"/>
        <v>336000</v>
      </c>
      <c r="H257" s="105"/>
      <c r="J257" s="74"/>
      <c r="K257" s="74"/>
    </row>
    <row r="258" spans="1:11" ht="20.25" customHeight="1">
      <c r="A258" s="54"/>
      <c r="B258" s="30"/>
      <c r="C258" s="29" t="s">
        <v>41</v>
      </c>
      <c r="D258" s="49" t="s">
        <v>42</v>
      </c>
      <c r="E258" s="50">
        <v>1</v>
      </c>
      <c r="F258" s="125">
        <v>238000</v>
      </c>
      <c r="G258" s="125">
        <f t="shared" si="11"/>
        <v>238000</v>
      </c>
      <c r="H258" s="105"/>
      <c r="J258" s="74"/>
      <c r="K258" s="74"/>
    </row>
    <row r="259" spans="1:11" ht="20.25" customHeight="1">
      <c r="A259" s="54"/>
      <c r="B259" s="30"/>
      <c r="C259" s="29" t="s">
        <v>843</v>
      </c>
      <c r="D259" s="64" t="s">
        <v>210</v>
      </c>
      <c r="E259" s="50">
        <v>25</v>
      </c>
      <c r="F259" s="130">
        <v>106810</v>
      </c>
      <c r="G259" s="125">
        <f t="shared" si="11"/>
        <v>2670250</v>
      </c>
      <c r="H259" s="105" t="s">
        <v>903</v>
      </c>
      <c r="J259" s="74"/>
      <c r="K259" s="74"/>
    </row>
    <row r="260" spans="1:11" ht="20.25" customHeight="1">
      <c r="A260" s="54"/>
      <c r="B260" s="30"/>
      <c r="C260" s="29" t="s">
        <v>872</v>
      </c>
      <c r="D260" s="64" t="s">
        <v>210</v>
      </c>
      <c r="E260" s="50">
        <v>20</v>
      </c>
      <c r="F260" s="125">
        <v>44770</v>
      </c>
      <c r="G260" s="125">
        <f t="shared" si="11"/>
        <v>895400</v>
      </c>
      <c r="H260" s="105" t="s">
        <v>903</v>
      </c>
      <c r="J260" s="74"/>
      <c r="K260" s="74"/>
    </row>
    <row r="261" spans="1:11" ht="20.25" customHeight="1">
      <c r="A261" s="54"/>
      <c r="B261" s="30"/>
      <c r="C261" s="29" t="s">
        <v>842</v>
      </c>
      <c r="D261" s="64" t="s">
        <v>210</v>
      </c>
      <c r="E261" s="50">
        <v>20</v>
      </c>
      <c r="F261" s="125">
        <v>25300</v>
      </c>
      <c r="G261" s="125">
        <f t="shared" si="11"/>
        <v>506000</v>
      </c>
      <c r="H261" s="105" t="s">
        <v>903</v>
      </c>
      <c r="J261" s="74"/>
      <c r="K261" s="74"/>
    </row>
    <row r="262" spans="1:11" ht="20.25" customHeight="1">
      <c r="A262" s="54"/>
      <c r="B262" s="30"/>
      <c r="C262" s="29" t="s">
        <v>839</v>
      </c>
      <c r="D262" s="49" t="s">
        <v>37</v>
      </c>
      <c r="E262" s="50">
        <v>2</v>
      </c>
      <c r="F262" s="125">
        <v>40000</v>
      </c>
      <c r="G262" s="125">
        <f t="shared" si="11"/>
        <v>80000</v>
      </c>
      <c r="H262" s="106" t="s">
        <v>187</v>
      </c>
      <c r="J262" s="74"/>
      <c r="K262" s="74"/>
    </row>
    <row r="263" spans="1:11" ht="20.25" customHeight="1">
      <c r="A263" s="54"/>
      <c r="B263" s="30"/>
      <c r="C263" s="29" t="s">
        <v>833</v>
      </c>
      <c r="D263" s="49" t="s">
        <v>37</v>
      </c>
      <c r="E263" s="50">
        <v>5</v>
      </c>
      <c r="F263" s="125">
        <v>20000</v>
      </c>
      <c r="G263" s="125">
        <f t="shared" si="11"/>
        <v>100000</v>
      </c>
      <c r="H263" s="106" t="s">
        <v>187</v>
      </c>
      <c r="J263" s="74"/>
      <c r="K263" s="74"/>
    </row>
    <row r="264" spans="1:11" ht="20.25" customHeight="1">
      <c r="A264" s="54"/>
      <c r="B264" s="30"/>
      <c r="C264" s="29" t="s">
        <v>827</v>
      </c>
      <c r="D264" s="49" t="s">
        <v>37</v>
      </c>
      <c r="E264" s="50">
        <v>5</v>
      </c>
      <c r="F264" s="125">
        <v>20000</v>
      </c>
      <c r="G264" s="125">
        <f t="shared" si="11"/>
        <v>100000</v>
      </c>
      <c r="H264" s="106" t="s">
        <v>187</v>
      </c>
      <c r="J264" s="74"/>
      <c r="K264" s="74"/>
    </row>
    <row r="265" spans="1:11" ht="20.25" customHeight="1">
      <c r="A265" s="54"/>
      <c r="B265" s="30"/>
      <c r="C265" s="29" t="s">
        <v>830</v>
      </c>
      <c r="D265" s="49" t="s">
        <v>37</v>
      </c>
      <c r="E265" s="50">
        <v>10</v>
      </c>
      <c r="F265" s="125">
        <v>20000</v>
      </c>
      <c r="G265" s="125">
        <f t="shared" si="11"/>
        <v>200000</v>
      </c>
      <c r="H265" s="106" t="s">
        <v>187</v>
      </c>
      <c r="J265" s="74"/>
      <c r="K265" s="74"/>
    </row>
    <row r="266" spans="1:11" ht="20.25" customHeight="1">
      <c r="A266" s="42"/>
      <c r="B266" s="43" t="s">
        <v>5</v>
      </c>
      <c r="C266" s="44"/>
      <c r="D266" s="45"/>
      <c r="E266" s="46"/>
      <c r="F266" s="133"/>
      <c r="G266" s="124">
        <f>SUM(G247:G265)</f>
        <v>590603538.5</v>
      </c>
      <c r="H266" s="261"/>
      <c r="J266" s="74"/>
      <c r="K266" s="74"/>
    </row>
    <row r="267" spans="1:11" ht="31.5">
      <c r="A267" s="54">
        <v>17</v>
      </c>
      <c r="B267" s="55" t="s">
        <v>106</v>
      </c>
      <c r="C267" s="56" t="s">
        <v>621</v>
      </c>
      <c r="D267" s="37" t="s">
        <v>20</v>
      </c>
      <c r="E267" s="57">
        <v>211.2</v>
      </c>
      <c r="F267" s="125"/>
      <c r="G267" s="125"/>
      <c r="H267" s="105"/>
      <c r="J267" s="74"/>
      <c r="K267" s="74"/>
    </row>
    <row r="268" spans="1:11" ht="15.75">
      <c r="A268" s="54"/>
      <c r="B268" s="62" t="s">
        <v>108</v>
      </c>
      <c r="C268" s="29" t="s">
        <v>195</v>
      </c>
      <c r="D268" s="37"/>
      <c r="E268" s="84"/>
      <c r="F268" s="125"/>
      <c r="G268" s="125"/>
      <c r="H268" s="105"/>
      <c r="J268" s="74"/>
      <c r="K268" s="74"/>
    </row>
    <row r="269" spans="1:11" ht="120.75" customHeight="1">
      <c r="A269" s="54"/>
      <c r="B269" s="30" t="s">
        <v>518</v>
      </c>
      <c r="C269" s="29" t="s">
        <v>789</v>
      </c>
      <c r="D269" s="37" t="s">
        <v>20</v>
      </c>
      <c r="E269" s="84">
        <v>200</v>
      </c>
      <c r="F269" s="125">
        <v>5670000</v>
      </c>
      <c r="G269" s="125">
        <f>F269*E269</f>
        <v>1134000000</v>
      </c>
      <c r="H269" s="105"/>
      <c r="J269" s="74"/>
      <c r="K269" s="74"/>
    </row>
    <row r="270" spans="1:11" ht="135" customHeight="1">
      <c r="A270" s="54"/>
      <c r="B270" s="30" t="s">
        <v>107</v>
      </c>
      <c r="C270" s="29" t="s">
        <v>936</v>
      </c>
      <c r="D270" s="37" t="s">
        <v>20</v>
      </c>
      <c r="E270" s="84">
        <v>11.2</v>
      </c>
      <c r="F270" s="125">
        <v>4420000</v>
      </c>
      <c r="G270" s="125">
        <f>F270*E270</f>
        <v>49504000</v>
      </c>
      <c r="H270" s="105"/>
      <c r="J270" s="74"/>
      <c r="K270" s="74"/>
    </row>
    <row r="271" spans="1:11" ht="69.75" customHeight="1">
      <c r="A271" s="61"/>
      <c r="B271" s="47"/>
      <c r="C271" s="30" t="s">
        <v>109</v>
      </c>
      <c r="D271" s="37" t="s">
        <v>20</v>
      </c>
      <c r="E271" s="60">
        <f>(5.61*9.2)+(6.1*3.66)+(0.89*4.13)+(3.8*4.65)</f>
        <v>95.28370000000001</v>
      </c>
      <c r="F271" s="130">
        <f>3230000-(5%*3230000)</f>
        <v>3068500</v>
      </c>
      <c r="G271" s="125">
        <f>F271*E271</f>
        <v>292378033.45000005</v>
      </c>
      <c r="H271" s="223" t="s">
        <v>184</v>
      </c>
      <c r="J271" s="74"/>
      <c r="K271" s="74"/>
    </row>
    <row r="272" spans="1:11" ht="96">
      <c r="A272" s="61"/>
      <c r="B272" s="217"/>
      <c r="C272" s="30" t="s">
        <v>110</v>
      </c>
      <c r="D272" s="37" t="s">
        <v>20</v>
      </c>
      <c r="E272" s="50">
        <f>(1.89*4.13)</f>
        <v>7.805699999999999</v>
      </c>
      <c r="F272" s="125">
        <f>3230000-150000-160000-(5%*3230000)</f>
        <v>2758500</v>
      </c>
      <c r="G272" s="125">
        <f aca="true" t="shared" si="12" ref="G272:G291">F272*E272</f>
        <v>21532023.449999996</v>
      </c>
      <c r="H272" s="213" t="s">
        <v>762</v>
      </c>
      <c r="J272" s="74"/>
      <c r="K272" s="74"/>
    </row>
    <row r="273" spans="1:11" ht="74.25" customHeight="1">
      <c r="A273" s="61"/>
      <c r="B273" s="217"/>
      <c r="C273" s="48" t="s">
        <v>111</v>
      </c>
      <c r="D273" s="37" t="s">
        <v>20</v>
      </c>
      <c r="E273" s="60">
        <f>1.91*2.33</f>
        <v>4.4503</v>
      </c>
      <c r="F273" s="130">
        <f>2450000+160000</f>
        <v>2610000</v>
      </c>
      <c r="G273" s="130">
        <f t="shared" si="12"/>
        <v>11615283.000000002</v>
      </c>
      <c r="H273" s="106" t="s">
        <v>751</v>
      </c>
      <c r="J273" s="74"/>
      <c r="K273" s="74"/>
    </row>
    <row r="274" spans="1:11" ht="34.5">
      <c r="A274" s="140"/>
      <c r="B274" s="224"/>
      <c r="C274" s="29" t="s">
        <v>207</v>
      </c>
      <c r="D274" s="214" t="s">
        <v>208</v>
      </c>
      <c r="E274" s="225">
        <f>(1.91+2.33+1.11+2.33)*1.5</f>
        <v>11.520000000000001</v>
      </c>
      <c r="F274" s="125">
        <v>240000</v>
      </c>
      <c r="G274" s="130">
        <f t="shared" si="12"/>
        <v>2764800.0000000005</v>
      </c>
      <c r="H274" s="105"/>
      <c r="J274" s="74"/>
      <c r="K274" s="74"/>
    </row>
    <row r="275" spans="1:11" ht="35.25" customHeight="1">
      <c r="A275" s="61"/>
      <c r="B275" s="30"/>
      <c r="C275" s="48" t="s">
        <v>112</v>
      </c>
      <c r="D275" s="37" t="s">
        <v>20</v>
      </c>
      <c r="E275" s="60">
        <f>27.12*1.9</f>
        <v>51.528</v>
      </c>
      <c r="F275" s="130">
        <v>928000</v>
      </c>
      <c r="G275" s="125">
        <f t="shared" si="12"/>
        <v>47817984</v>
      </c>
      <c r="H275" s="106"/>
      <c r="J275" s="74"/>
      <c r="K275" s="74"/>
    </row>
    <row r="276" spans="1:11" ht="39" customHeight="1">
      <c r="A276" s="61"/>
      <c r="B276" s="30"/>
      <c r="C276" s="48" t="s">
        <v>840</v>
      </c>
      <c r="D276" s="37" t="s">
        <v>210</v>
      </c>
      <c r="E276" s="60"/>
      <c r="F276" s="130"/>
      <c r="G276" s="125"/>
      <c r="H276" s="106"/>
      <c r="J276" s="74"/>
      <c r="K276" s="74"/>
    </row>
    <row r="277" spans="1:11" ht="18.75">
      <c r="A277" s="61"/>
      <c r="B277" s="30"/>
      <c r="C277" s="48" t="s">
        <v>113</v>
      </c>
      <c r="D277" s="37" t="s">
        <v>32</v>
      </c>
      <c r="E277" s="60">
        <f>2.9*1.4*0.6</f>
        <v>2.4359999999999995</v>
      </c>
      <c r="F277" s="130">
        <v>1175000</v>
      </c>
      <c r="G277" s="125">
        <f>F277*E277</f>
        <v>2862299.9999999995</v>
      </c>
      <c r="H277" s="106"/>
      <c r="I277" s="289"/>
      <c r="J277" s="74"/>
      <c r="K277" s="74"/>
    </row>
    <row r="278" spans="1:11" ht="18.75">
      <c r="A278" s="61"/>
      <c r="B278" s="30"/>
      <c r="C278" s="48" t="s">
        <v>114</v>
      </c>
      <c r="D278" s="37" t="s">
        <v>32</v>
      </c>
      <c r="E278" s="60">
        <f>1.8*1*0.5</f>
        <v>0.9</v>
      </c>
      <c r="F278" s="130">
        <v>1514000</v>
      </c>
      <c r="G278" s="125">
        <f t="shared" si="12"/>
        <v>1362600</v>
      </c>
      <c r="H278" s="106"/>
      <c r="J278" s="74"/>
      <c r="K278" s="74"/>
    </row>
    <row r="279" spans="1:11" ht="18.75">
      <c r="A279" s="61"/>
      <c r="B279" s="30"/>
      <c r="C279" s="48" t="s">
        <v>115</v>
      </c>
      <c r="D279" s="37" t="s">
        <v>20</v>
      </c>
      <c r="E279" s="60">
        <f>(3.8*4)+(11.75*2.5)+(1.9*1.6)</f>
        <v>47.615</v>
      </c>
      <c r="F279" s="130">
        <v>240000</v>
      </c>
      <c r="G279" s="125">
        <f t="shared" si="12"/>
        <v>11427600</v>
      </c>
      <c r="H279" s="106"/>
      <c r="J279" s="74"/>
      <c r="K279" s="74"/>
    </row>
    <row r="280" spans="1:11" ht="18.75">
      <c r="A280" s="61"/>
      <c r="B280" s="30"/>
      <c r="C280" s="48" t="s">
        <v>116</v>
      </c>
      <c r="D280" s="37" t="s">
        <v>20</v>
      </c>
      <c r="E280" s="60">
        <f>5.61*0.85</f>
        <v>4.7685</v>
      </c>
      <c r="F280" s="130">
        <v>240000</v>
      </c>
      <c r="G280" s="125">
        <f t="shared" si="12"/>
        <v>1144440</v>
      </c>
      <c r="H280" s="106"/>
      <c r="J280" s="74"/>
      <c r="K280" s="74"/>
    </row>
    <row r="281" spans="1:11" ht="18.75">
      <c r="A281" s="61"/>
      <c r="B281" s="30"/>
      <c r="C281" s="48" t="s">
        <v>36</v>
      </c>
      <c r="D281" s="37" t="s">
        <v>20</v>
      </c>
      <c r="E281" s="60">
        <f>4.7*1.6</f>
        <v>7.5200000000000005</v>
      </c>
      <c r="F281" s="125">
        <v>125000</v>
      </c>
      <c r="G281" s="125">
        <f t="shared" si="12"/>
        <v>940000</v>
      </c>
      <c r="H281" s="106"/>
      <c r="J281" s="74"/>
      <c r="K281" s="74"/>
    </row>
    <row r="282" spans="1:11" ht="31.5">
      <c r="A282" s="61"/>
      <c r="B282" s="30"/>
      <c r="C282" s="48" t="s">
        <v>40</v>
      </c>
      <c r="D282" s="37" t="s">
        <v>20</v>
      </c>
      <c r="E282" s="60">
        <f>(3.8*2)+(6.6*6.5)</f>
        <v>50.5</v>
      </c>
      <c r="F282" s="125">
        <v>498000</v>
      </c>
      <c r="G282" s="125">
        <f t="shared" si="12"/>
        <v>25149000</v>
      </c>
      <c r="H282" s="106"/>
      <c r="J282" s="74"/>
      <c r="K282" s="74"/>
    </row>
    <row r="283" spans="1:11" ht="15.75">
      <c r="A283" s="61"/>
      <c r="B283" s="30"/>
      <c r="C283" s="48" t="s">
        <v>872</v>
      </c>
      <c r="D283" s="64" t="s">
        <v>210</v>
      </c>
      <c r="E283" s="60">
        <v>10</v>
      </c>
      <c r="F283" s="125">
        <v>44770</v>
      </c>
      <c r="G283" s="125">
        <f t="shared" si="12"/>
        <v>447700</v>
      </c>
      <c r="H283" s="105" t="s">
        <v>903</v>
      </c>
      <c r="J283" s="74"/>
      <c r="K283" s="74"/>
    </row>
    <row r="284" spans="1:11" ht="15.75">
      <c r="A284" s="61"/>
      <c r="B284" s="30"/>
      <c r="C284" s="48" t="s">
        <v>836</v>
      </c>
      <c r="D284" s="64" t="s">
        <v>210</v>
      </c>
      <c r="E284" s="60">
        <v>40</v>
      </c>
      <c r="F284" s="125">
        <v>13640</v>
      </c>
      <c r="G284" s="125">
        <f t="shared" si="12"/>
        <v>545600</v>
      </c>
      <c r="H284" s="105" t="s">
        <v>903</v>
      </c>
      <c r="J284" s="74"/>
      <c r="K284" s="74"/>
    </row>
    <row r="285" spans="1:11" ht="18.75">
      <c r="A285" s="61"/>
      <c r="B285" s="30"/>
      <c r="C285" s="48" t="s">
        <v>25</v>
      </c>
      <c r="D285" s="37" t="s">
        <v>32</v>
      </c>
      <c r="E285" s="60">
        <f>9.75*2*0.1</f>
        <v>1.9500000000000002</v>
      </c>
      <c r="F285" s="125">
        <f>1250000</f>
        <v>1250000</v>
      </c>
      <c r="G285" s="125">
        <f t="shared" si="12"/>
        <v>2437500</v>
      </c>
      <c r="H285" s="106"/>
      <c r="J285" s="74"/>
      <c r="K285" s="74"/>
    </row>
    <row r="286" spans="1:11" ht="21" customHeight="1">
      <c r="A286" s="61"/>
      <c r="B286" s="30"/>
      <c r="C286" s="48" t="s">
        <v>26</v>
      </c>
      <c r="D286" s="37" t="s">
        <v>20</v>
      </c>
      <c r="E286" s="60">
        <f>9.7*2</f>
        <v>19.4</v>
      </c>
      <c r="F286" s="130">
        <v>82000</v>
      </c>
      <c r="G286" s="125">
        <f t="shared" si="12"/>
        <v>1590799.9999999998</v>
      </c>
      <c r="H286" s="106"/>
      <c r="J286" s="74"/>
      <c r="K286" s="74"/>
    </row>
    <row r="287" spans="1:11" ht="21" customHeight="1">
      <c r="A287" s="61"/>
      <c r="B287" s="30"/>
      <c r="C287" s="48" t="s">
        <v>841</v>
      </c>
      <c r="D287" s="37" t="s">
        <v>117</v>
      </c>
      <c r="E287" s="60">
        <v>1</v>
      </c>
      <c r="F287" s="130">
        <v>40000</v>
      </c>
      <c r="G287" s="125">
        <f t="shared" si="12"/>
        <v>40000</v>
      </c>
      <c r="H287" s="106" t="s">
        <v>187</v>
      </c>
      <c r="J287" s="74"/>
      <c r="K287" s="74"/>
    </row>
    <row r="288" spans="1:11" ht="21" customHeight="1">
      <c r="A288" s="61"/>
      <c r="B288" s="30"/>
      <c r="C288" s="48" t="s">
        <v>827</v>
      </c>
      <c r="D288" s="37" t="s">
        <v>117</v>
      </c>
      <c r="E288" s="60">
        <v>2</v>
      </c>
      <c r="F288" s="125">
        <v>20000</v>
      </c>
      <c r="G288" s="125">
        <f t="shared" si="12"/>
        <v>40000</v>
      </c>
      <c r="H288" s="106" t="s">
        <v>187</v>
      </c>
      <c r="J288" s="74"/>
      <c r="K288" s="74"/>
    </row>
    <row r="289" spans="1:11" ht="21" customHeight="1">
      <c r="A289" s="61"/>
      <c r="B289" s="30"/>
      <c r="C289" s="48" t="s">
        <v>828</v>
      </c>
      <c r="D289" s="37" t="s">
        <v>117</v>
      </c>
      <c r="E289" s="60">
        <v>1</v>
      </c>
      <c r="F289" s="130">
        <v>40000</v>
      </c>
      <c r="G289" s="125">
        <f t="shared" si="12"/>
        <v>40000</v>
      </c>
      <c r="H289" s="106" t="s">
        <v>187</v>
      </c>
      <c r="J289" s="74"/>
      <c r="K289" s="74"/>
    </row>
    <row r="290" spans="1:11" ht="21" customHeight="1">
      <c r="A290" s="61"/>
      <c r="B290" s="30"/>
      <c r="C290" s="48" t="s">
        <v>829</v>
      </c>
      <c r="D290" s="37" t="s">
        <v>117</v>
      </c>
      <c r="E290" s="60">
        <v>1</v>
      </c>
      <c r="F290" s="125">
        <v>20000</v>
      </c>
      <c r="G290" s="125">
        <f t="shared" si="12"/>
        <v>20000</v>
      </c>
      <c r="H290" s="106" t="s">
        <v>187</v>
      </c>
      <c r="J290" s="74"/>
      <c r="K290" s="74"/>
    </row>
    <row r="291" spans="1:11" ht="21" customHeight="1">
      <c r="A291" s="61"/>
      <c r="B291" s="30"/>
      <c r="C291" s="48" t="s">
        <v>830</v>
      </c>
      <c r="D291" s="37" t="s">
        <v>117</v>
      </c>
      <c r="E291" s="60">
        <v>2</v>
      </c>
      <c r="F291" s="125">
        <v>20000</v>
      </c>
      <c r="G291" s="125">
        <f t="shared" si="12"/>
        <v>40000</v>
      </c>
      <c r="H291" s="106" t="s">
        <v>187</v>
      </c>
      <c r="J291" s="74"/>
      <c r="K291" s="74"/>
    </row>
    <row r="292" spans="1:11" ht="21" customHeight="1">
      <c r="A292" s="42"/>
      <c r="B292" s="43" t="s">
        <v>5</v>
      </c>
      <c r="C292" s="44"/>
      <c r="D292" s="45"/>
      <c r="E292" s="46"/>
      <c r="F292" s="133"/>
      <c r="G292" s="156">
        <f>SUM(G267:G291)</f>
        <v>1607699663.9</v>
      </c>
      <c r="H292" s="261"/>
      <c r="J292" s="74"/>
      <c r="K292" s="74"/>
    </row>
    <row r="293" spans="1:11" ht="31.5">
      <c r="A293" s="54">
        <v>18</v>
      </c>
      <c r="B293" s="55" t="s">
        <v>118</v>
      </c>
      <c r="C293" s="56" t="s">
        <v>622</v>
      </c>
      <c r="D293" s="37" t="s">
        <v>20</v>
      </c>
      <c r="E293" s="57">
        <v>14.9</v>
      </c>
      <c r="F293" s="125"/>
      <c r="G293" s="125"/>
      <c r="H293" s="105"/>
      <c r="J293" s="74"/>
      <c r="K293" s="74"/>
    </row>
    <row r="294" spans="1:11" ht="18.75" customHeight="1">
      <c r="A294" s="54"/>
      <c r="B294" s="62" t="s">
        <v>124</v>
      </c>
      <c r="C294" s="29" t="s">
        <v>195</v>
      </c>
      <c r="D294" s="37"/>
      <c r="E294" s="84"/>
      <c r="F294" s="125"/>
      <c r="G294" s="125"/>
      <c r="H294" s="105"/>
      <c r="J294" s="74"/>
      <c r="K294" s="74"/>
    </row>
    <row r="295" spans="1:11" ht="110.25">
      <c r="A295" s="54"/>
      <c r="B295" s="30" t="s">
        <v>964</v>
      </c>
      <c r="C295" s="29" t="s">
        <v>936</v>
      </c>
      <c r="D295" s="37" t="s">
        <v>20</v>
      </c>
      <c r="E295" s="84">
        <v>14.9</v>
      </c>
      <c r="F295" s="125">
        <v>4420000</v>
      </c>
      <c r="G295" s="125">
        <f>F295*E295</f>
        <v>65858000</v>
      </c>
      <c r="H295" s="105"/>
      <c r="J295" s="74"/>
      <c r="K295" s="74"/>
    </row>
    <row r="296" spans="1:11" ht="18.75">
      <c r="A296" s="61"/>
      <c r="B296" s="62" t="s">
        <v>119</v>
      </c>
      <c r="C296" s="30" t="s">
        <v>120</v>
      </c>
      <c r="D296" s="37" t="s">
        <v>20</v>
      </c>
      <c r="E296" s="60">
        <f>2.24*2.2</f>
        <v>4.928000000000001</v>
      </c>
      <c r="F296" s="130">
        <v>325000</v>
      </c>
      <c r="G296" s="125">
        <f>F296*E296</f>
        <v>1601600.0000000002</v>
      </c>
      <c r="H296" s="106"/>
      <c r="J296" s="74"/>
      <c r="K296" s="74"/>
    </row>
    <row r="297" spans="1:11" ht="18.75">
      <c r="A297" s="61"/>
      <c r="B297" s="217"/>
      <c r="C297" s="48" t="s">
        <v>121</v>
      </c>
      <c r="D297" s="37" t="s">
        <v>32</v>
      </c>
      <c r="E297" s="50">
        <f>0.3*0.3*2.2</f>
        <v>0.198</v>
      </c>
      <c r="F297" s="125">
        <f>1854000</f>
        <v>1854000</v>
      </c>
      <c r="G297" s="125">
        <f>F297*E297</f>
        <v>367092</v>
      </c>
      <c r="H297" s="106"/>
      <c r="J297" s="74"/>
      <c r="K297" s="74"/>
    </row>
    <row r="298" spans="1:11" ht="21" customHeight="1">
      <c r="A298" s="61"/>
      <c r="B298" s="47"/>
      <c r="C298" s="29" t="s">
        <v>36</v>
      </c>
      <c r="D298" s="37" t="s">
        <v>20</v>
      </c>
      <c r="E298" s="50">
        <f>4.8*2</f>
        <v>9.6</v>
      </c>
      <c r="F298" s="125">
        <v>125000</v>
      </c>
      <c r="G298" s="125">
        <f>F298*E298</f>
        <v>1200000</v>
      </c>
      <c r="H298" s="106"/>
      <c r="J298" s="74"/>
      <c r="K298" s="74"/>
    </row>
    <row r="299" spans="1:11" ht="21" customHeight="1">
      <c r="A299" s="42"/>
      <c r="B299" s="43" t="s">
        <v>5</v>
      </c>
      <c r="C299" s="44"/>
      <c r="D299" s="45"/>
      <c r="E299" s="46"/>
      <c r="F299" s="133"/>
      <c r="G299" s="156">
        <f>SUM(G293:G298)</f>
        <v>69026692</v>
      </c>
      <c r="H299" s="261"/>
      <c r="J299" s="74"/>
      <c r="K299" s="74"/>
    </row>
    <row r="300" spans="1:11" ht="37.5" customHeight="1">
      <c r="A300" s="54">
        <v>19</v>
      </c>
      <c r="B300" s="55" t="s">
        <v>965</v>
      </c>
      <c r="C300" s="56" t="s">
        <v>623</v>
      </c>
      <c r="D300" s="37" t="s">
        <v>20</v>
      </c>
      <c r="E300" s="57">
        <v>55.7</v>
      </c>
      <c r="F300" s="125"/>
      <c r="G300" s="125"/>
      <c r="H300" s="105"/>
      <c r="J300" s="74"/>
      <c r="K300" s="74"/>
    </row>
    <row r="301" spans="1:11" ht="21" customHeight="1">
      <c r="A301" s="54"/>
      <c r="B301" s="55" t="s">
        <v>122</v>
      </c>
      <c r="C301" s="29" t="s">
        <v>195</v>
      </c>
      <c r="D301" s="37"/>
      <c r="E301" s="226"/>
      <c r="F301" s="125"/>
      <c r="G301" s="125"/>
      <c r="H301" s="105"/>
      <c r="J301" s="74"/>
      <c r="K301" s="74"/>
    </row>
    <row r="302" spans="1:11" ht="108.75" customHeight="1">
      <c r="A302" s="54"/>
      <c r="B302" s="30" t="s">
        <v>519</v>
      </c>
      <c r="C302" s="29" t="s">
        <v>791</v>
      </c>
      <c r="D302" s="37" t="s">
        <v>20</v>
      </c>
      <c r="E302" s="227">
        <v>55.7</v>
      </c>
      <c r="F302" s="125">
        <v>5102000</v>
      </c>
      <c r="G302" s="125">
        <f>F302*E302</f>
        <v>284181400</v>
      </c>
      <c r="H302" s="105"/>
      <c r="J302" s="74"/>
      <c r="K302" s="74"/>
    </row>
    <row r="303" spans="1:11" ht="72.75" customHeight="1">
      <c r="A303" s="61"/>
      <c r="B303" s="62" t="s">
        <v>123</v>
      </c>
      <c r="C303" s="30" t="s">
        <v>198</v>
      </c>
      <c r="D303" s="37" t="s">
        <v>20</v>
      </c>
      <c r="E303" s="50">
        <f>6.38*3.5</f>
        <v>22.33</v>
      </c>
      <c r="F303" s="130">
        <f>3230000-(3230000*25%)-(3230000*5%)</f>
        <v>2261000</v>
      </c>
      <c r="G303" s="125">
        <f>F303*E303</f>
        <v>50488129.99999999</v>
      </c>
      <c r="H303" s="213" t="s">
        <v>306</v>
      </c>
      <c r="J303" s="74"/>
      <c r="K303" s="74"/>
    </row>
    <row r="304" spans="1:11" ht="22.5" customHeight="1">
      <c r="A304" s="61"/>
      <c r="B304" s="62"/>
      <c r="C304" s="30" t="s">
        <v>195</v>
      </c>
      <c r="D304" s="37"/>
      <c r="E304" s="50"/>
      <c r="F304" s="125"/>
      <c r="G304" s="125">
        <f aca="true" t="shared" si="13" ref="G304:G315">F304*E304</f>
        <v>0</v>
      </c>
      <c r="H304" s="213"/>
      <c r="J304" s="74"/>
      <c r="K304" s="74"/>
    </row>
    <row r="305" spans="1:11" ht="105.75" customHeight="1">
      <c r="A305" s="61"/>
      <c r="B305" s="62"/>
      <c r="C305" s="30" t="s">
        <v>196</v>
      </c>
      <c r="D305" s="37" t="s">
        <v>20</v>
      </c>
      <c r="E305" s="50">
        <f>(6.38-2.6)*3.5</f>
        <v>13.229999999999999</v>
      </c>
      <c r="F305" s="125">
        <f>3230000-(25%*3230000)-(5%*3230000)-160000</f>
        <v>2101000</v>
      </c>
      <c r="G305" s="125">
        <f t="shared" si="13"/>
        <v>27796229.999999996</v>
      </c>
      <c r="H305" s="213" t="s">
        <v>763</v>
      </c>
      <c r="J305" s="74"/>
      <c r="K305" s="74"/>
    </row>
    <row r="306" spans="1:11" ht="70.5" customHeight="1">
      <c r="A306" s="61"/>
      <c r="B306" s="62"/>
      <c r="C306" s="30" t="s">
        <v>197</v>
      </c>
      <c r="D306" s="37" t="s">
        <v>20</v>
      </c>
      <c r="E306" s="50">
        <f>2.6*3.5</f>
        <v>9.1</v>
      </c>
      <c r="F306" s="125">
        <f>3230000-(25%*3230000)-(5%*3230000)</f>
        <v>2261000</v>
      </c>
      <c r="G306" s="125">
        <f t="shared" si="13"/>
        <v>20575100</v>
      </c>
      <c r="H306" s="213" t="s">
        <v>199</v>
      </c>
      <c r="J306" s="74"/>
      <c r="K306" s="74"/>
    </row>
    <row r="307" spans="1:11" ht="31.5">
      <c r="A307" s="61"/>
      <c r="B307" s="62"/>
      <c r="C307" s="48" t="s">
        <v>125</v>
      </c>
      <c r="D307" s="37" t="s">
        <v>20</v>
      </c>
      <c r="E307" s="50">
        <f>(4.9*4.2)+(3.4*1.9)</f>
        <v>27.040000000000003</v>
      </c>
      <c r="F307" s="125">
        <v>150000</v>
      </c>
      <c r="G307" s="125">
        <f t="shared" si="13"/>
        <v>4056000.0000000005</v>
      </c>
      <c r="H307" s="106"/>
      <c r="J307" s="74"/>
      <c r="K307" s="74"/>
    </row>
    <row r="308" spans="1:11" ht="18.75">
      <c r="A308" s="61"/>
      <c r="B308" s="62"/>
      <c r="C308" s="29" t="s">
        <v>116</v>
      </c>
      <c r="D308" s="37" t="s">
        <v>20</v>
      </c>
      <c r="E308" s="50">
        <f>3.3*3.3</f>
        <v>10.889999999999999</v>
      </c>
      <c r="F308" s="125">
        <v>240000</v>
      </c>
      <c r="G308" s="125">
        <f t="shared" si="13"/>
        <v>2613599.9999999995</v>
      </c>
      <c r="H308" s="106"/>
      <c r="J308" s="74"/>
      <c r="K308" s="74"/>
    </row>
    <row r="309" spans="1:11" ht="18.75">
      <c r="A309" s="61"/>
      <c r="B309" s="62"/>
      <c r="C309" s="29" t="s">
        <v>25</v>
      </c>
      <c r="D309" s="37" t="s">
        <v>32</v>
      </c>
      <c r="E309" s="50">
        <f>(5+7.45)*2.2*0.1</f>
        <v>2.7390000000000003</v>
      </c>
      <c r="F309" s="125">
        <f>1250000</f>
        <v>1250000</v>
      </c>
      <c r="G309" s="125">
        <f t="shared" si="13"/>
        <v>3423750.0000000005</v>
      </c>
      <c r="H309" s="106"/>
      <c r="J309" s="74"/>
      <c r="K309" s="74"/>
    </row>
    <row r="310" spans="1:11" ht="18.75">
      <c r="A310" s="61"/>
      <c r="B310" s="62"/>
      <c r="C310" s="29" t="s">
        <v>26</v>
      </c>
      <c r="D310" s="37" t="s">
        <v>20</v>
      </c>
      <c r="E310" s="50">
        <f>(5*7.45)*2.3</f>
        <v>85.675</v>
      </c>
      <c r="F310" s="130">
        <v>82000</v>
      </c>
      <c r="G310" s="125">
        <f t="shared" si="13"/>
        <v>7025350</v>
      </c>
      <c r="H310" s="106"/>
      <c r="J310" s="74"/>
      <c r="K310" s="74"/>
    </row>
    <row r="311" spans="1:11" ht="18.75">
      <c r="A311" s="61"/>
      <c r="B311" s="62"/>
      <c r="C311" s="29" t="s">
        <v>120</v>
      </c>
      <c r="D311" s="37" t="s">
        <v>20</v>
      </c>
      <c r="E311" s="50">
        <f>(5+7.45)*1.8</f>
        <v>22.41</v>
      </c>
      <c r="F311" s="130">
        <v>325000</v>
      </c>
      <c r="G311" s="125">
        <f t="shared" si="13"/>
        <v>7283250</v>
      </c>
      <c r="H311" s="106"/>
      <c r="J311" s="74"/>
      <c r="K311" s="74"/>
    </row>
    <row r="312" spans="1:11" ht="33.75" customHeight="1">
      <c r="A312" s="61"/>
      <c r="B312" s="30"/>
      <c r="C312" s="29" t="s">
        <v>126</v>
      </c>
      <c r="D312" s="37" t="s">
        <v>20</v>
      </c>
      <c r="E312" s="60">
        <f>6.2*3.5</f>
        <v>21.7</v>
      </c>
      <c r="F312" s="125">
        <v>736000</v>
      </c>
      <c r="G312" s="125">
        <f t="shared" si="13"/>
        <v>15971200</v>
      </c>
      <c r="H312" s="106"/>
      <c r="J312" s="74"/>
      <c r="K312" s="74"/>
    </row>
    <row r="313" spans="1:11" ht="36.75" customHeight="1">
      <c r="A313" s="61"/>
      <c r="B313" s="30"/>
      <c r="C313" s="48" t="s">
        <v>127</v>
      </c>
      <c r="D313" s="37" t="s">
        <v>20</v>
      </c>
      <c r="E313" s="60">
        <f>7*2.6</f>
        <v>18.2</v>
      </c>
      <c r="F313" s="130">
        <v>325000</v>
      </c>
      <c r="G313" s="125">
        <f t="shared" si="13"/>
        <v>5915000</v>
      </c>
      <c r="H313" s="106"/>
      <c r="J313" s="74"/>
      <c r="K313" s="74"/>
    </row>
    <row r="314" spans="1:11" ht="20.25" customHeight="1">
      <c r="A314" s="61"/>
      <c r="B314" s="30"/>
      <c r="C314" s="48" t="s">
        <v>833</v>
      </c>
      <c r="D314" s="37" t="s">
        <v>37</v>
      </c>
      <c r="E314" s="60">
        <v>1</v>
      </c>
      <c r="F314" s="125">
        <v>20000</v>
      </c>
      <c r="G314" s="125">
        <f t="shared" si="13"/>
        <v>20000</v>
      </c>
      <c r="H314" s="106" t="s">
        <v>187</v>
      </c>
      <c r="J314" s="74"/>
      <c r="K314" s="74"/>
    </row>
    <row r="315" spans="1:11" ht="20.25" customHeight="1">
      <c r="A315" s="140"/>
      <c r="B315" s="224"/>
      <c r="C315" s="48" t="s">
        <v>829</v>
      </c>
      <c r="D315" s="37" t="s">
        <v>37</v>
      </c>
      <c r="E315" s="225">
        <v>2</v>
      </c>
      <c r="F315" s="125">
        <v>20000</v>
      </c>
      <c r="G315" s="125">
        <f t="shared" si="13"/>
        <v>40000</v>
      </c>
      <c r="H315" s="106" t="s">
        <v>187</v>
      </c>
      <c r="J315" s="74"/>
      <c r="K315" s="74"/>
    </row>
    <row r="316" spans="1:11" ht="20.25" customHeight="1">
      <c r="A316" s="42"/>
      <c r="B316" s="43" t="s">
        <v>5</v>
      </c>
      <c r="C316" s="44"/>
      <c r="D316" s="45"/>
      <c r="E316" s="46"/>
      <c r="F316" s="133"/>
      <c r="G316" s="156">
        <f>SUM(G300:G315)</f>
        <v>429389010</v>
      </c>
      <c r="H316" s="261"/>
      <c r="J316" s="74"/>
      <c r="K316" s="74"/>
    </row>
    <row r="317" spans="1:11" ht="45" customHeight="1">
      <c r="A317" s="54">
        <v>20</v>
      </c>
      <c r="B317" s="55" t="s">
        <v>128</v>
      </c>
      <c r="C317" s="56" t="s">
        <v>624</v>
      </c>
      <c r="D317" s="37" t="s">
        <v>20</v>
      </c>
      <c r="E317" s="57">
        <v>2.5</v>
      </c>
      <c r="F317" s="125"/>
      <c r="G317" s="125"/>
      <c r="H317" s="105"/>
      <c r="J317" s="74"/>
      <c r="K317" s="74"/>
    </row>
    <row r="318" spans="1:11" ht="34.5" customHeight="1">
      <c r="A318" s="54"/>
      <c r="B318" s="55" t="s">
        <v>740</v>
      </c>
      <c r="C318" s="29" t="s">
        <v>195</v>
      </c>
      <c r="D318" s="37"/>
      <c r="E318" s="84"/>
      <c r="F318" s="125"/>
      <c r="G318" s="125"/>
      <c r="H318" s="105"/>
      <c r="J318" s="74"/>
      <c r="K318" s="74"/>
    </row>
    <row r="319" spans="1:11" ht="100.5" customHeight="1">
      <c r="A319" s="54"/>
      <c r="B319" s="30" t="s">
        <v>520</v>
      </c>
      <c r="C319" s="29" t="s">
        <v>790</v>
      </c>
      <c r="D319" s="37" t="s">
        <v>20</v>
      </c>
      <c r="E319" s="84">
        <v>2.5</v>
      </c>
      <c r="F319" s="125">
        <v>5670000</v>
      </c>
      <c r="G319" s="125">
        <f aca="true" t="shared" si="14" ref="G319:G324">F319*E319</f>
        <v>14175000</v>
      </c>
      <c r="H319" s="105"/>
      <c r="J319" s="74"/>
      <c r="K319" s="74"/>
    </row>
    <row r="320" spans="1:11" ht="31.5">
      <c r="A320" s="54"/>
      <c r="B320" s="62" t="s">
        <v>129</v>
      </c>
      <c r="C320" s="29" t="s">
        <v>966</v>
      </c>
      <c r="D320" s="37" t="s">
        <v>20</v>
      </c>
      <c r="E320" s="84">
        <f>4.6*2.6</f>
        <v>11.959999999999999</v>
      </c>
      <c r="F320" s="130">
        <v>325000</v>
      </c>
      <c r="G320" s="125">
        <f t="shared" si="14"/>
        <v>3886999.9999999995</v>
      </c>
      <c r="H320" s="105"/>
      <c r="J320" s="74"/>
      <c r="K320" s="74"/>
    </row>
    <row r="321" spans="1:11" ht="18.75">
      <c r="A321" s="61"/>
      <c r="B321" s="62"/>
      <c r="C321" s="30" t="s">
        <v>25</v>
      </c>
      <c r="D321" s="37" t="s">
        <v>32</v>
      </c>
      <c r="E321" s="60">
        <f>2.5*3*0.1</f>
        <v>0.75</v>
      </c>
      <c r="F321" s="130">
        <v>1250000</v>
      </c>
      <c r="G321" s="125">
        <f t="shared" si="14"/>
        <v>937500</v>
      </c>
      <c r="H321" s="106"/>
      <c r="J321" s="74"/>
      <c r="K321" s="74"/>
    </row>
    <row r="322" spans="1:11" ht="18.75">
      <c r="A322" s="61"/>
      <c r="B322" s="217"/>
      <c r="C322" s="30" t="s">
        <v>26</v>
      </c>
      <c r="D322" s="37" t="s">
        <v>20</v>
      </c>
      <c r="E322" s="50">
        <f>(2.5*3)*2</f>
        <v>15</v>
      </c>
      <c r="F322" s="130">
        <v>82000</v>
      </c>
      <c r="G322" s="125">
        <f t="shared" si="14"/>
        <v>1230000</v>
      </c>
      <c r="H322" s="106"/>
      <c r="J322" s="74"/>
      <c r="K322" s="74"/>
    </row>
    <row r="323" spans="1:11" ht="18.75">
      <c r="A323" s="61"/>
      <c r="B323" s="217"/>
      <c r="C323" s="48" t="s">
        <v>578</v>
      </c>
      <c r="D323" s="37" t="s">
        <v>20</v>
      </c>
      <c r="E323" s="50">
        <f>3.1*1.6</f>
        <v>4.960000000000001</v>
      </c>
      <c r="F323" s="125">
        <v>110000</v>
      </c>
      <c r="G323" s="125">
        <f t="shared" si="14"/>
        <v>545600.0000000001</v>
      </c>
      <c r="H323" s="106"/>
      <c r="J323" s="74"/>
      <c r="K323" s="74"/>
    </row>
    <row r="324" spans="1:11" ht="31.5">
      <c r="A324" s="61"/>
      <c r="B324" s="74"/>
      <c r="C324" s="29" t="s">
        <v>1024</v>
      </c>
      <c r="D324" s="37" t="s">
        <v>20</v>
      </c>
      <c r="E324" s="50">
        <f>4.6*3</f>
        <v>13.799999999999999</v>
      </c>
      <c r="F324" s="125">
        <f>410000</f>
        <v>410000</v>
      </c>
      <c r="G324" s="125">
        <f t="shared" si="14"/>
        <v>5658000</v>
      </c>
      <c r="H324" s="106"/>
      <c r="J324" s="74"/>
      <c r="K324" s="74"/>
    </row>
    <row r="325" spans="1:11" ht="18.75" customHeight="1">
      <c r="A325" s="42"/>
      <c r="B325" s="43" t="s">
        <v>5</v>
      </c>
      <c r="C325" s="44"/>
      <c r="D325" s="45"/>
      <c r="E325" s="46"/>
      <c r="F325" s="133"/>
      <c r="G325" s="156">
        <f>SUM(G317:G324)</f>
        <v>26433100</v>
      </c>
      <c r="H325" s="261"/>
      <c r="J325" s="74"/>
      <c r="K325" s="74"/>
    </row>
    <row r="326" spans="1:11" ht="47.25" customHeight="1">
      <c r="A326" s="54">
        <v>21</v>
      </c>
      <c r="B326" s="55" t="s">
        <v>685</v>
      </c>
      <c r="C326" s="56" t="s">
        <v>686</v>
      </c>
      <c r="D326" s="37" t="s">
        <v>20</v>
      </c>
      <c r="E326" s="57">
        <v>201.5</v>
      </c>
      <c r="F326" s="125"/>
      <c r="G326" s="125"/>
      <c r="H326" s="105"/>
      <c r="J326" s="74"/>
      <c r="K326" s="74"/>
    </row>
    <row r="327" spans="1:11" ht="21" customHeight="1">
      <c r="A327" s="54"/>
      <c r="B327" s="62" t="s">
        <v>17</v>
      </c>
      <c r="C327" s="29" t="s">
        <v>195</v>
      </c>
      <c r="D327" s="37"/>
      <c r="E327" s="84"/>
      <c r="F327" s="125"/>
      <c r="G327" s="125"/>
      <c r="H327" s="105"/>
      <c r="J327" s="74"/>
      <c r="K327" s="74"/>
    </row>
    <row r="328" spans="1:11" ht="105" customHeight="1">
      <c r="A328" s="54"/>
      <c r="B328" s="30" t="s">
        <v>521</v>
      </c>
      <c r="C328" s="29" t="s">
        <v>791</v>
      </c>
      <c r="D328" s="37" t="s">
        <v>20</v>
      </c>
      <c r="E328" s="84">
        <v>150</v>
      </c>
      <c r="F328" s="125">
        <v>5102000</v>
      </c>
      <c r="G328" s="125">
        <f>F328*E328</f>
        <v>765300000</v>
      </c>
      <c r="H328" s="105"/>
      <c r="J328" s="74"/>
      <c r="K328" s="74"/>
    </row>
    <row r="329" spans="1:11" ht="132.75" customHeight="1">
      <c r="A329" s="54"/>
      <c r="B329" s="62" t="s">
        <v>131</v>
      </c>
      <c r="C329" s="29" t="s">
        <v>943</v>
      </c>
      <c r="D329" s="37"/>
      <c r="E329" s="84">
        <v>51.5</v>
      </c>
      <c r="F329" s="125">
        <v>2551000</v>
      </c>
      <c r="G329" s="125">
        <f>F329*E329</f>
        <v>131376500</v>
      </c>
      <c r="H329" s="105"/>
      <c r="J329" s="74"/>
      <c r="K329" s="74"/>
    </row>
    <row r="330" spans="1:11" ht="24" customHeight="1">
      <c r="A330" s="61"/>
      <c r="B330" s="62"/>
      <c r="C330" s="30" t="s">
        <v>1025</v>
      </c>
      <c r="D330" s="64" t="s">
        <v>43</v>
      </c>
      <c r="E330" s="60">
        <v>1</v>
      </c>
      <c r="F330" s="130">
        <v>400000</v>
      </c>
      <c r="G330" s="125">
        <f>F330*E330</f>
        <v>400000</v>
      </c>
      <c r="H330" s="106"/>
      <c r="J330" s="74"/>
      <c r="K330" s="74"/>
    </row>
    <row r="331" spans="1:11" ht="15.75">
      <c r="A331" s="61"/>
      <c r="B331" s="217"/>
      <c r="C331" s="48" t="s">
        <v>999</v>
      </c>
      <c r="D331" s="49" t="s">
        <v>43</v>
      </c>
      <c r="E331" s="50">
        <v>1</v>
      </c>
      <c r="F331" s="125">
        <v>180000</v>
      </c>
      <c r="G331" s="125">
        <f>F331*E331</f>
        <v>180000</v>
      </c>
      <c r="H331" s="106"/>
      <c r="J331" s="74"/>
      <c r="K331" s="74"/>
    </row>
    <row r="332" spans="1:11" ht="22.5" customHeight="1">
      <c r="A332" s="42"/>
      <c r="B332" s="43" t="s">
        <v>5</v>
      </c>
      <c r="C332" s="44"/>
      <c r="D332" s="45"/>
      <c r="E332" s="46"/>
      <c r="F332" s="133"/>
      <c r="G332" s="156">
        <f>SUM(G326:G331)</f>
        <v>897256500</v>
      </c>
      <c r="H332" s="261"/>
      <c r="J332" s="74"/>
      <c r="K332" s="74"/>
    </row>
    <row r="333" spans="1:11" ht="31.5">
      <c r="A333" s="54">
        <v>22</v>
      </c>
      <c r="B333" s="55" t="s">
        <v>1138</v>
      </c>
      <c r="C333" s="56" t="s">
        <v>627</v>
      </c>
      <c r="D333" s="37" t="s">
        <v>20</v>
      </c>
      <c r="E333" s="57">
        <v>60.7</v>
      </c>
      <c r="F333" s="125"/>
      <c r="G333" s="125"/>
      <c r="H333" s="105"/>
      <c r="J333" s="74"/>
      <c r="K333" s="74"/>
    </row>
    <row r="334" spans="1:11" ht="15.75">
      <c r="A334" s="61"/>
      <c r="B334" s="55" t="s">
        <v>1139</v>
      </c>
      <c r="C334" s="29" t="s">
        <v>195</v>
      </c>
      <c r="D334" s="64"/>
      <c r="E334" s="60"/>
      <c r="F334" s="130"/>
      <c r="G334" s="125"/>
      <c r="H334" s="106"/>
      <c r="J334" s="74"/>
      <c r="K334" s="74"/>
    </row>
    <row r="335" spans="1:11" ht="94.5">
      <c r="A335" s="61"/>
      <c r="B335" s="30" t="s">
        <v>522</v>
      </c>
      <c r="C335" s="29" t="s">
        <v>789</v>
      </c>
      <c r="D335" s="37" t="s">
        <v>20</v>
      </c>
      <c r="E335" s="50">
        <v>47.9</v>
      </c>
      <c r="F335" s="125">
        <v>5670000</v>
      </c>
      <c r="G335" s="125">
        <f>F335*E335</f>
        <v>271593000</v>
      </c>
      <c r="H335" s="106"/>
      <c r="J335" s="74"/>
      <c r="K335" s="74"/>
    </row>
    <row r="336" spans="1:11" ht="132.75" customHeight="1">
      <c r="A336" s="61"/>
      <c r="B336" s="62" t="s">
        <v>132</v>
      </c>
      <c r="C336" s="29" t="s">
        <v>940</v>
      </c>
      <c r="D336" s="37" t="s">
        <v>20</v>
      </c>
      <c r="E336" s="50">
        <v>12.8</v>
      </c>
      <c r="F336" s="125">
        <v>4420000</v>
      </c>
      <c r="G336" s="125">
        <f>F336*E336</f>
        <v>56576000</v>
      </c>
      <c r="H336" s="106"/>
      <c r="J336" s="74"/>
      <c r="K336" s="74"/>
    </row>
    <row r="337" spans="1:11" ht="21.75" customHeight="1">
      <c r="A337" s="42"/>
      <c r="B337" s="43" t="s">
        <v>5</v>
      </c>
      <c r="C337" s="44"/>
      <c r="D337" s="45"/>
      <c r="E337" s="46"/>
      <c r="F337" s="133"/>
      <c r="G337" s="156">
        <f>SUM(G333:G336)</f>
        <v>328169000</v>
      </c>
      <c r="H337" s="261"/>
      <c r="J337" s="74"/>
      <c r="K337" s="74"/>
    </row>
    <row r="338" spans="1:11" ht="31.5">
      <c r="A338" s="54">
        <v>23</v>
      </c>
      <c r="B338" s="55" t="s">
        <v>1140</v>
      </c>
      <c r="C338" s="56" t="s">
        <v>626</v>
      </c>
      <c r="D338" s="37" t="s">
        <v>20</v>
      </c>
      <c r="E338" s="57">
        <v>59.1</v>
      </c>
      <c r="F338" s="134"/>
      <c r="G338" s="154"/>
      <c r="H338" s="259" t="s">
        <v>134</v>
      </c>
      <c r="J338" s="74"/>
      <c r="K338" s="74"/>
    </row>
    <row r="339" spans="1:11" ht="15.75">
      <c r="A339" s="54"/>
      <c r="B339" s="55" t="s">
        <v>1141</v>
      </c>
      <c r="C339" s="29" t="s">
        <v>195</v>
      </c>
      <c r="D339" s="64"/>
      <c r="E339" s="84"/>
      <c r="F339" s="125"/>
      <c r="G339" s="206"/>
      <c r="H339" s="105"/>
      <c r="J339" s="74"/>
      <c r="K339" s="74"/>
    </row>
    <row r="340" spans="1:11" ht="104.25" customHeight="1">
      <c r="A340" s="54"/>
      <c r="B340" s="30" t="s">
        <v>967</v>
      </c>
      <c r="C340" s="29" t="s">
        <v>790</v>
      </c>
      <c r="D340" s="37" t="s">
        <v>20</v>
      </c>
      <c r="E340" s="84">
        <v>47.8</v>
      </c>
      <c r="F340" s="125">
        <v>5670000</v>
      </c>
      <c r="G340" s="125">
        <f>F340*E340</f>
        <v>271026000</v>
      </c>
      <c r="H340" s="105"/>
      <c r="J340" s="74"/>
      <c r="K340" s="74"/>
    </row>
    <row r="341" spans="1:11" ht="127.5" customHeight="1">
      <c r="A341" s="54"/>
      <c r="B341" s="62" t="s">
        <v>133</v>
      </c>
      <c r="C341" s="29" t="s">
        <v>936</v>
      </c>
      <c r="D341" s="37" t="s">
        <v>20</v>
      </c>
      <c r="E341" s="84">
        <v>11.3</v>
      </c>
      <c r="F341" s="125">
        <v>4420000</v>
      </c>
      <c r="G341" s="125">
        <f>F341*E341</f>
        <v>49946000</v>
      </c>
      <c r="H341" s="105"/>
      <c r="J341" s="74"/>
      <c r="K341" s="74"/>
    </row>
    <row r="342" spans="1:11" ht="15.75">
      <c r="A342" s="54"/>
      <c r="B342" s="217"/>
      <c r="C342" s="30" t="s">
        <v>999</v>
      </c>
      <c r="D342" s="37" t="s">
        <v>43</v>
      </c>
      <c r="E342" s="60">
        <v>1</v>
      </c>
      <c r="F342" s="125">
        <v>180000</v>
      </c>
      <c r="G342" s="125">
        <f>F342*E342</f>
        <v>180000</v>
      </c>
      <c r="H342" s="105"/>
      <c r="J342" s="74"/>
      <c r="K342" s="74"/>
    </row>
    <row r="343" spans="1:11" ht="18.75">
      <c r="A343" s="54"/>
      <c r="B343" s="217"/>
      <c r="C343" s="29" t="s">
        <v>135</v>
      </c>
      <c r="D343" s="37" t="s">
        <v>20</v>
      </c>
      <c r="E343" s="84">
        <v>3</v>
      </c>
      <c r="F343" s="125">
        <v>6000</v>
      </c>
      <c r="G343" s="125">
        <f>F343*E343</f>
        <v>18000</v>
      </c>
      <c r="H343" s="105"/>
      <c r="J343" s="74"/>
      <c r="K343" s="74"/>
    </row>
    <row r="344" spans="1:11" ht="15.75">
      <c r="A344" s="54"/>
      <c r="B344" s="47"/>
      <c r="C344" s="29" t="s">
        <v>1026</v>
      </c>
      <c r="D344" s="37" t="s">
        <v>43</v>
      </c>
      <c r="E344" s="50">
        <v>1</v>
      </c>
      <c r="F344" s="125">
        <v>100000</v>
      </c>
      <c r="G344" s="125">
        <f>F344*E344</f>
        <v>100000</v>
      </c>
      <c r="H344" s="105"/>
      <c r="J344" s="74"/>
      <c r="K344" s="74"/>
    </row>
    <row r="345" spans="1:11" s="149" customFormat="1" ht="20.25" customHeight="1">
      <c r="A345" s="145"/>
      <c r="B345" s="43" t="s">
        <v>5</v>
      </c>
      <c r="C345" s="146"/>
      <c r="D345" s="147"/>
      <c r="E345" s="209"/>
      <c r="F345" s="148"/>
      <c r="G345" s="156">
        <f>SUM(G338:G344)</f>
        <v>321270000</v>
      </c>
      <c r="H345" s="260"/>
      <c r="I345" s="115"/>
      <c r="J345" s="210"/>
      <c r="K345" s="210"/>
    </row>
    <row r="346" spans="1:11" ht="36.75" customHeight="1">
      <c r="A346" s="54">
        <v>24</v>
      </c>
      <c r="B346" s="55" t="s">
        <v>136</v>
      </c>
      <c r="C346" s="56" t="s">
        <v>628</v>
      </c>
      <c r="D346" s="37" t="s">
        <v>20</v>
      </c>
      <c r="E346" s="57">
        <v>199.9</v>
      </c>
      <c r="F346" s="125"/>
      <c r="G346" s="125"/>
      <c r="H346" s="105"/>
      <c r="J346" s="74"/>
      <c r="K346" s="74"/>
    </row>
    <row r="347" spans="1:11" ht="21.75" customHeight="1">
      <c r="A347" s="54"/>
      <c r="B347" s="55" t="s">
        <v>741</v>
      </c>
      <c r="C347" s="29" t="s">
        <v>195</v>
      </c>
      <c r="D347" s="37"/>
      <c r="E347" s="77"/>
      <c r="F347" s="125"/>
      <c r="G347" s="125"/>
      <c r="H347" s="105"/>
      <c r="J347" s="74"/>
      <c r="K347" s="74"/>
    </row>
    <row r="348" spans="1:11" ht="124.5" customHeight="1">
      <c r="A348" s="54"/>
      <c r="B348" s="30" t="s">
        <v>525</v>
      </c>
      <c r="C348" s="29" t="s">
        <v>952</v>
      </c>
      <c r="D348" s="37" t="s">
        <v>20</v>
      </c>
      <c r="E348" s="84">
        <v>199.9</v>
      </c>
      <c r="F348" s="125">
        <v>2551000</v>
      </c>
      <c r="G348" s="125">
        <f>F348*E348</f>
        <v>509944900</v>
      </c>
      <c r="H348" s="105"/>
      <c r="J348" s="74"/>
      <c r="K348" s="74"/>
    </row>
    <row r="349" spans="1:11" ht="78.75">
      <c r="A349" s="54"/>
      <c r="B349" s="30" t="s">
        <v>137</v>
      </c>
      <c r="C349" s="29" t="s">
        <v>185</v>
      </c>
      <c r="D349" s="37" t="s">
        <v>20</v>
      </c>
      <c r="E349" s="84">
        <f>5.1*17.2</f>
        <v>87.71999999999998</v>
      </c>
      <c r="F349" s="125">
        <f>3230000</f>
        <v>3230000</v>
      </c>
      <c r="G349" s="125">
        <f>F349*E349</f>
        <v>283335599.99999994</v>
      </c>
      <c r="H349" s="288" t="s">
        <v>748</v>
      </c>
      <c r="J349" s="74"/>
      <c r="K349" s="74"/>
    </row>
    <row r="350" spans="1:11" ht="24.75" customHeight="1">
      <c r="A350" s="61"/>
      <c r="B350" s="30"/>
      <c r="C350" s="30" t="s">
        <v>138</v>
      </c>
      <c r="D350" s="37" t="s">
        <v>20</v>
      </c>
      <c r="E350" s="60">
        <f>4.15*2.5</f>
        <v>10.375</v>
      </c>
      <c r="F350" s="130">
        <v>928000</v>
      </c>
      <c r="G350" s="125">
        <f aca="true" t="shared" si="15" ref="G350:G370">F350*E350</f>
        <v>9628000</v>
      </c>
      <c r="H350" s="106"/>
      <c r="J350" s="74"/>
      <c r="K350" s="74"/>
    </row>
    <row r="351" spans="1:11" ht="36.75" customHeight="1">
      <c r="A351" s="61"/>
      <c r="B351" s="217"/>
      <c r="C351" s="48" t="s">
        <v>35</v>
      </c>
      <c r="D351" s="37" t="s">
        <v>20</v>
      </c>
      <c r="E351" s="50">
        <f>((25+7.5)*3)+(3*3)</f>
        <v>106.5</v>
      </c>
      <c r="F351" s="125">
        <v>325000</v>
      </c>
      <c r="G351" s="125">
        <f t="shared" si="15"/>
        <v>34612500</v>
      </c>
      <c r="H351" s="106"/>
      <c r="J351" s="74"/>
      <c r="K351" s="74"/>
    </row>
    <row r="352" spans="1:11" ht="37.5" customHeight="1">
      <c r="A352" s="61"/>
      <c r="B352" s="217"/>
      <c r="C352" s="48" t="s">
        <v>139</v>
      </c>
      <c r="D352" s="37" t="s">
        <v>20</v>
      </c>
      <c r="E352" s="60">
        <f>4.85*6.2</f>
        <v>30.07</v>
      </c>
      <c r="F352" s="130">
        <v>498000</v>
      </c>
      <c r="G352" s="125">
        <f t="shared" si="15"/>
        <v>14974860</v>
      </c>
      <c r="H352" s="106"/>
      <c r="J352" s="74"/>
      <c r="K352" s="74"/>
    </row>
    <row r="353" spans="1:11" ht="31.5">
      <c r="A353" s="61"/>
      <c r="B353" s="30"/>
      <c r="C353" s="48" t="s">
        <v>40</v>
      </c>
      <c r="D353" s="37" t="s">
        <v>20</v>
      </c>
      <c r="E353" s="60">
        <f>1.5*4.85</f>
        <v>7.2749999999999995</v>
      </c>
      <c r="F353" s="130">
        <v>498000</v>
      </c>
      <c r="G353" s="125">
        <f t="shared" si="15"/>
        <v>3622949.9999999995</v>
      </c>
      <c r="H353" s="106"/>
      <c r="J353" s="74"/>
      <c r="K353" s="74"/>
    </row>
    <row r="354" spans="1:11" ht="18.75">
      <c r="A354" s="61"/>
      <c r="B354" s="30"/>
      <c r="C354" s="48" t="s">
        <v>140</v>
      </c>
      <c r="D354" s="37" t="s">
        <v>32</v>
      </c>
      <c r="E354" s="60">
        <f>(17.2*1.35*0.15)+(2.9*7.6*0.15)+(1.8*8*0.15)</f>
        <v>8.949</v>
      </c>
      <c r="F354" s="130">
        <v>1670000</v>
      </c>
      <c r="G354" s="125">
        <f t="shared" si="15"/>
        <v>14944830</v>
      </c>
      <c r="H354" s="106"/>
      <c r="J354" s="74"/>
      <c r="K354" s="74"/>
    </row>
    <row r="355" spans="1:11" ht="18.75">
      <c r="A355" s="61"/>
      <c r="B355" s="30"/>
      <c r="C355" s="48" t="s">
        <v>28</v>
      </c>
      <c r="D355" s="37" t="s">
        <v>20</v>
      </c>
      <c r="E355" s="60">
        <f>3.07*2.15</f>
        <v>6.600499999999999</v>
      </c>
      <c r="F355" s="130">
        <v>85000</v>
      </c>
      <c r="G355" s="125">
        <f t="shared" si="15"/>
        <v>561042.5</v>
      </c>
      <c r="H355" s="105" t="s">
        <v>187</v>
      </c>
      <c r="J355" s="74"/>
      <c r="K355" s="74"/>
    </row>
    <row r="356" spans="1:11" ht="18.75">
      <c r="A356" s="61"/>
      <c r="B356" s="30"/>
      <c r="C356" s="48" t="s">
        <v>27</v>
      </c>
      <c r="D356" s="37" t="s">
        <v>32</v>
      </c>
      <c r="E356" s="60">
        <f>(0.4*0.4*2.5)*2</f>
        <v>0.8000000000000002</v>
      </c>
      <c r="F356" s="125">
        <f>1854000</f>
        <v>1854000</v>
      </c>
      <c r="G356" s="125">
        <f t="shared" si="15"/>
        <v>1483200.0000000002</v>
      </c>
      <c r="H356" s="106"/>
      <c r="J356" s="74"/>
      <c r="K356" s="74"/>
    </row>
    <row r="357" spans="1:11" ht="18.75">
      <c r="A357" s="61"/>
      <c r="B357" s="30"/>
      <c r="C357" s="48" t="s">
        <v>25</v>
      </c>
      <c r="D357" s="37" t="s">
        <v>32</v>
      </c>
      <c r="E357" s="60">
        <f>2.6*0.5*0.1</f>
        <v>0.13</v>
      </c>
      <c r="F357" s="125">
        <f>1250000</f>
        <v>1250000</v>
      </c>
      <c r="G357" s="125">
        <f t="shared" si="15"/>
        <v>162500</v>
      </c>
      <c r="H357" s="106"/>
      <c r="J357" s="74"/>
      <c r="K357" s="74"/>
    </row>
    <row r="358" spans="1:11" ht="18.75">
      <c r="A358" s="61"/>
      <c r="B358" s="30"/>
      <c r="C358" s="48" t="s">
        <v>26</v>
      </c>
      <c r="D358" s="37" t="s">
        <v>20</v>
      </c>
      <c r="E358" s="60">
        <f>((0.4*2.5)*2)+(2.6*0.5)</f>
        <v>3.3</v>
      </c>
      <c r="F358" s="130">
        <v>82000</v>
      </c>
      <c r="G358" s="228">
        <f t="shared" si="15"/>
        <v>270600</v>
      </c>
      <c r="H358" s="106"/>
      <c r="J358" s="74"/>
      <c r="K358" s="74"/>
    </row>
    <row r="359" spans="1:11" ht="15.75">
      <c r="A359" s="61"/>
      <c r="B359" s="30"/>
      <c r="C359" s="48" t="s">
        <v>41</v>
      </c>
      <c r="D359" s="37" t="s">
        <v>42</v>
      </c>
      <c r="E359" s="60">
        <v>1</v>
      </c>
      <c r="F359" s="125">
        <v>238000</v>
      </c>
      <c r="G359" s="228">
        <f t="shared" si="15"/>
        <v>238000</v>
      </c>
      <c r="H359" s="213"/>
      <c r="I359" s="110"/>
      <c r="J359" s="74"/>
      <c r="K359" s="74"/>
    </row>
    <row r="360" spans="1:11" ht="15.75">
      <c r="A360" s="61"/>
      <c r="B360" s="30"/>
      <c r="C360" s="48" t="s">
        <v>141</v>
      </c>
      <c r="D360" s="49" t="s">
        <v>189</v>
      </c>
      <c r="E360" s="60">
        <v>1</v>
      </c>
      <c r="F360" s="130">
        <f>2500000+(100000*30)</f>
        <v>5500000</v>
      </c>
      <c r="G360" s="228">
        <f t="shared" si="15"/>
        <v>5500000</v>
      </c>
      <c r="H360" s="106"/>
      <c r="J360" s="74"/>
      <c r="K360" s="74"/>
    </row>
    <row r="361" spans="1:11" ht="15.75">
      <c r="A361" s="61"/>
      <c r="B361" s="30"/>
      <c r="C361" s="48" t="s">
        <v>842</v>
      </c>
      <c r="D361" s="64" t="s">
        <v>210</v>
      </c>
      <c r="E361" s="60">
        <v>10</v>
      </c>
      <c r="F361" s="125">
        <v>25300</v>
      </c>
      <c r="G361" s="125">
        <f t="shared" si="15"/>
        <v>253000</v>
      </c>
      <c r="H361" s="105" t="s">
        <v>903</v>
      </c>
      <c r="J361" s="74"/>
      <c r="K361" s="74"/>
    </row>
    <row r="362" spans="1:11" ht="15.75">
      <c r="A362" s="61"/>
      <c r="B362" s="30"/>
      <c r="C362" s="48" t="s">
        <v>843</v>
      </c>
      <c r="D362" s="64" t="s">
        <v>210</v>
      </c>
      <c r="E362" s="60">
        <v>25</v>
      </c>
      <c r="F362" s="130">
        <v>106810</v>
      </c>
      <c r="G362" s="125">
        <f t="shared" si="15"/>
        <v>2670250</v>
      </c>
      <c r="H362" s="105" t="s">
        <v>903</v>
      </c>
      <c r="J362" s="74"/>
      <c r="K362" s="74"/>
    </row>
    <row r="363" spans="1:11" ht="31.5">
      <c r="A363" s="61"/>
      <c r="B363" s="30"/>
      <c r="C363" s="48" t="s">
        <v>149</v>
      </c>
      <c r="D363" s="37" t="s">
        <v>192</v>
      </c>
      <c r="E363" s="60">
        <v>3</v>
      </c>
      <c r="F363" s="130">
        <v>900000</v>
      </c>
      <c r="G363" s="125">
        <f t="shared" si="15"/>
        <v>2700000</v>
      </c>
      <c r="H363" s="106" t="s">
        <v>187</v>
      </c>
      <c r="J363" s="74"/>
      <c r="K363" s="74"/>
    </row>
    <row r="364" spans="1:11" ht="18.75">
      <c r="A364" s="61"/>
      <c r="B364" s="30"/>
      <c r="C364" s="48" t="s">
        <v>169</v>
      </c>
      <c r="D364" s="37" t="s">
        <v>32</v>
      </c>
      <c r="E364" s="60">
        <f>((4.5+2.5)*2)*0.1</f>
        <v>1.4000000000000001</v>
      </c>
      <c r="F364" s="130">
        <f>1684000</f>
        <v>1684000</v>
      </c>
      <c r="G364" s="125">
        <f t="shared" si="15"/>
        <v>2357600</v>
      </c>
      <c r="H364" s="106"/>
      <c r="J364" s="74"/>
      <c r="K364" s="74"/>
    </row>
    <row r="365" spans="1:11" ht="15.75">
      <c r="A365" s="61"/>
      <c r="B365" s="30"/>
      <c r="C365" s="48" t="s">
        <v>875</v>
      </c>
      <c r="D365" s="37" t="s">
        <v>31</v>
      </c>
      <c r="E365" s="60">
        <v>70</v>
      </c>
      <c r="F365" s="130"/>
      <c r="G365" s="125">
        <f t="shared" si="15"/>
        <v>0</v>
      </c>
      <c r="H365" s="106"/>
      <c r="J365" s="74"/>
      <c r="K365" s="74"/>
    </row>
    <row r="366" spans="1:11" ht="15.75">
      <c r="A366" s="61"/>
      <c r="B366" s="30"/>
      <c r="C366" s="48" t="s">
        <v>1027</v>
      </c>
      <c r="D366" s="37" t="s">
        <v>43</v>
      </c>
      <c r="E366" s="60">
        <v>1</v>
      </c>
      <c r="F366" s="130">
        <v>200000</v>
      </c>
      <c r="G366" s="125">
        <f t="shared" si="15"/>
        <v>200000</v>
      </c>
      <c r="H366" s="106"/>
      <c r="J366" s="74"/>
      <c r="K366" s="74"/>
    </row>
    <row r="367" spans="1:11" ht="15.75">
      <c r="A367" s="61"/>
      <c r="B367" s="30"/>
      <c r="C367" s="48" t="s">
        <v>1028</v>
      </c>
      <c r="D367" s="37" t="s">
        <v>43</v>
      </c>
      <c r="E367" s="60">
        <v>3</v>
      </c>
      <c r="F367" s="130">
        <v>1000000</v>
      </c>
      <c r="G367" s="125">
        <f t="shared" si="15"/>
        <v>3000000</v>
      </c>
      <c r="H367" s="106"/>
      <c r="J367" s="74"/>
      <c r="K367" s="74"/>
    </row>
    <row r="368" spans="1:11" ht="15.75">
      <c r="A368" s="61"/>
      <c r="B368" s="30"/>
      <c r="C368" s="48" t="s">
        <v>202</v>
      </c>
      <c r="D368" s="37" t="s">
        <v>145</v>
      </c>
      <c r="E368" s="60">
        <v>3</v>
      </c>
      <c r="F368" s="130">
        <v>160000</v>
      </c>
      <c r="G368" s="125">
        <f t="shared" si="15"/>
        <v>480000</v>
      </c>
      <c r="H368" s="106"/>
      <c r="J368" s="74"/>
      <c r="K368" s="74"/>
    </row>
    <row r="369" spans="1:11" ht="15.75">
      <c r="A369" s="61"/>
      <c r="B369" s="30"/>
      <c r="C369" s="48" t="s">
        <v>999</v>
      </c>
      <c r="D369" s="37" t="s">
        <v>43</v>
      </c>
      <c r="E369" s="60">
        <v>1</v>
      </c>
      <c r="F369" s="130">
        <v>180000</v>
      </c>
      <c r="G369" s="125">
        <f t="shared" si="15"/>
        <v>180000</v>
      </c>
      <c r="H369" s="106"/>
      <c r="J369" s="74"/>
      <c r="K369" s="74"/>
    </row>
    <row r="370" spans="1:11" ht="18.75">
      <c r="A370" s="140"/>
      <c r="B370" s="182"/>
      <c r="C370" s="229" t="s">
        <v>142</v>
      </c>
      <c r="D370" s="230" t="s">
        <v>20</v>
      </c>
      <c r="E370" s="231">
        <v>3</v>
      </c>
      <c r="F370" s="232">
        <v>12000</v>
      </c>
      <c r="G370" s="143">
        <f t="shared" si="15"/>
        <v>36000</v>
      </c>
      <c r="H370" s="251"/>
      <c r="J370" s="74"/>
      <c r="K370" s="74"/>
    </row>
    <row r="371" spans="1:11" s="149" customFormat="1" ht="21.75" customHeight="1">
      <c r="A371" s="145"/>
      <c r="B371" s="43" t="s">
        <v>5</v>
      </c>
      <c r="C371" s="146"/>
      <c r="D371" s="147"/>
      <c r="E371" s="209"/>
      <c r="F371" s="148"/>
      <c r="G371" s="156">
        <f>SUM(G346:G370)</f>
        <v>891155832.5</v>
      </c>
      <c r="H371" s="260"/>
      <c r="I371" s="115"/>
      <c r="J371" s="210"/>
      <c r="K371" s="210"/>
    </row>
    <row r="372" spans="1:11" ht="31.5">
      <c r="A372" s="54">
        <v>25</v>
      </c>
      <c r="B372" s="55" t="s">
        <v>713</v>
      </c>
      <c r="C372" s="56" t="s">
        <v>629</v>
      </c>
      <c r="D372" s="37" t="s">
        <v>20</v>
      </c>
      <c r="E372" s="57">
        <v>480.4</v>
      </c>
      <c r="F372" s="125"/>
      <c r="G372" s="125"/>
      <c r="H372" s="105"/>
      <c r="J372" s="74"/>
      <c r="K372" s="74"/>
    </row>
    <row r="373" spans="1:11" ht="50.25" customHeight="1">
      <c r="A373" s="54"/>
      <c r="B373" s="55" t="s">
        <v>143</v>
      </c>
      <c r="C373" s="29" t="s">
        <v>195</v>
      </c>
      <c r="D373" s="64"/>
      <c r="E373" s="84"/>
      <c r="F373" s="125"/>
      <c r="G373" s="125"/>
      <c r="H373" s="105"/>
      <c r="J373" s="74"/>
      <c r="K373" s="74"/>
    </row>
    <row r="374" spans="1:11" ht="94.5" customHeight="1">
      <c r="A374" s="54"/>
      <c r="B374" s="30" t="s">
        <v>557</v>
      </c>
      <c r="C374" s="29" t="s">
        <v>791</v>
      </c>
      <c r="D374" s="37" t="s">
        <v>20</v>
      </c>
      <c r="E374" s="84">
        <v>200</v>
      </c>
      <c r="F374" s="125">
        <v>5102000</v>
      </c>
      <c r="G374" s="125">
        <f>F374*E374</f>
        <v>1020400000</v>
      </c>
      <c r="H374" s="105"/>
      <c r="J374" s="74"/>
      <c r="K374" s="74"/>
    </row>
    <row r="375" spans="1:11" ht="126" customHeight="1">
      <c r="A375" s="54"/>
      <c r="B375" s="62"/>
      <c r="C375" s="48" t="s">
        <v>943</v>
      </c>
      <c r="D375" s="37" t="s">
        <v>20</v>
      </c>
      <c r="E375" s="84">
        <v>280.4</v>
      </c>
      <c r="F375" s="125">
        <v>2551000</v>
      </c>
      <c r="G375" s="125">
        <f aca="true" t="shared" si="16" ref="G375:G391">F375*E375</f>
        <v>715300400</v>
      </c>
      <c r="H375" s="105"/>
      <c r="J375" s="74"/>
      <c r="K375" s="74"/>
    </row>
    <row r="376" spans="1:11" ht="31.5">
      <c r="A376" s="54"/>
      <c r="B376" s="55"/>
      <c r="C376" s="29" t="s">
        <v>630</v>
      </c>
      <c r="D376" s="37" t="s">
        <v>20</v>
      </c>
      <c r="E376" s="84">
        <v>230.4</v>
      </c>
      <c r="F376" s="125"/>
      <c r="G376" s="125"/>
      <c r="H376" s="105"/>
      <c r="I376" s="169"/>
      <c r="J376" s="74"/>
      <c r="K376" s="74"/>
    </row>
    <row r="377" spans="1:11" ht="20.25" customHeight="1">
      <c r="A377" s="54"/>
      <c r="B377" s="55"/>
      <c r="C377" s="29" t="s">
        <v>195</v>
      </c>
      <c r="D377" s="37"/>
      <c r="E377" s="84"/>
      <c r="F377" s="125"/>
      <c r="G377" s="125"/>
      <c r="H377" s="105"/>
      <c r="I377" s="169"/>
      <c r="J377" s="74"/>
      <c r="K377" s="74"/>
    </row>
    <row r="378" spans="1:11" ht="126" customHeight="1">
      <c r="A378" s="54"/>
      <c r="B378" s="55"/>
      <c r="C378" s="229" t="s">
        <v>968</v>
      </c>
      <c r="D378" s="37" t="s">
        <v>20</v>
      </c>
      <c r="E378" s="84">
        <v>230.4</v>
      </c>
      <c r="F378" s="125">
        <v>2551000</v>
      </c>
      <c r="G378" s="125">
        <f t="shared" si="16"/>
        <v>587750400</v>
      </c>
      <c r="H378" s="105"/>
      <c r="I378" s="169"/>
      <c r="J378" s="74"/>
      <c r="K378" s="74"/>
    </row>
    <row r="379" spans="1:11" ht="78" customHeight="1">
      <c r="A379" s="54"/>
      <c r="B379" s="55"/>
      <c r="C379" s="48" t="s">
        <v>631</v>
      </c>
      <c r="D379" s="37" t="s">
        <v>20</v>
      </c>
      <c r="E379" s="84">
        <v>1826</v>
      </c>
      <c r="F379" s="125"/>
      <c r="G379" s="125"/>
      <c r="H379" s="105" t="s">
        <v>144</v>
      </c>
      <c r="I379" s="169"/>
      <c r="J379" s="74"/>
      <c r="K379" s="74"/>
    </row>
    <row r="380" spans="1:11" ht="21" customHeight="1">
      <c r="A380" s="54"/>
      <c r="B380" s="55"/>
      <c r="C380" s="29" t="s">
        <v>195</v>
      </c>
      <c r="D380" s="37"/>
      <c r="E380" s="84"/>
      <c r="F380" s="125"/>
      <c r="G380" s="125"/>
      <c r="H380" s="105"/>
      <c r="I380" s="169"/>
      <c r="J380" s="74"/>
      <c r="K380" s="74"/>
    </row>
    <row r="381" spans="1:11" ht="111.75" customHeight="1">
      <c r="A381" s="54"/>
      <c r="B381" s="55"/>
      <c r="C381" s="29" t="s">
        <v>794</v>
      </c>
      <c r="D381" s="37" t="s">
        <v>20</v>
      </c>
      <c r="E381" s="84">
        <v>800</v>
      </c>
      <c r="F381" s="125">
        <v>5102000</v>
      </c>
      <c r="G381" s="125">
        <f t="shared" si="16"/>
        <v>4081600000</v>
      </c>
      <c r="H381" s="105"/>
      <c r="I381" s="169"/>
      <c r="J381" s="74"/>
      <c r="K381" s="74"/>
    </row>
    <row r="382" spans="1:11" ht="127.5" customHeight="1">
      <c r="A382" s="54"/>
      <c r="B382" s="55"/>
      <c r="C382" s="48" t="s">
        <v>951</v>
      </c>
      <c r="D382" s="37" t="s">
        <v>20</v>
      </c>
      <c r="E382" s="84">
        <v>1026</v>
      </c>
      <c r="F382" s="125">
        <v>2551000</v>
      </c>
      <c r="G382" s="125">
        <f t="shared" si="16"/>
        <v>2617326000</v>
      </c>
      <c r="H382" s="105"/>
      <c r="J382" s="74"/>
      <c r="K382" s="74"/>
    </row>
    <row r="383" spans="1:11" ht="15.75">
      <c r="A383" s="61"/>
      <c r="B383" s="55"/>
      <c r="C383" s="30" t="s">
        <v>1029</v>
      </c>
      <c r="D383" s="64" t="s">
        <v>43</v>
      </c>
      <c r="E383" s="60">
        <v>80</v>
      </c>
      <c r="F383" s="130">
        <v>300000</v>
      </c>
      <c r="G383" s="125">
        <f t="shared" si="16"/>
        <v>24000000</v>
      </c>
      <c r="H383" s="106"/>
      <c r="J383" s="74"/>
      <c r="K383" s="74"/>
    </row>
    <row r="384" spans="1:11" ht="15.75">
      <c r="A384" s="61"/>
      <c r="B384" s="55"/>
      <c r="C384" s="48" t="s">
        <v>203</v>
      </c>
      <c r="D384" s="49" t="s">
        <v>145</v>
      </c>
      <c r="E384" s="50">
        <v>80</v>
      </c>
      <c r="F384" s="125">
        <v>96000</v>
      </c>
      <c r="G384" s="125">
        <f t="shared" si="16"/>
        <v>7680000</v>
      </c>
      <c r="H384" s="106"/>
      <c r="J384" s="74"/>
      <c r="K384" s="74"/>
    </row>
    <row r="385" spans="1:11" ht="15.75">
      <c r="A385" s="61"/>
      <c r="B385" s="217"/>
      <c r="C385" s="48" t="s">
        <v>1030</v>
      </c>
      <c r="D385" s="37" t="s">
        <v>43</v>
      </c>
      <c r="E385" s="60">
        <v>30</v>
      </c>
      <c r="F385" s="130">
        <v>227000</v>
      </c>
      <c r="G385" s="125">
        <f t="shared" si="16"/>
        <v>6810000</v>
      </c>
      <c r="H385" s="106"/>
      <c r="J385" s="74"/>
      <c r="K385" s="74"/>
    </row>
    <row r="386" spans="1:11" ht="15.75">
      <c r="A386" s="61"/>
      <c r="B386" s="217"/>
      <c r="C386" s="30" t="s">
        <v>876</v>
      </c>
      <c r="D386" s="64" t="s">
        <v>210</v>
      </c>
      <c r="E386" s="60">
        <v>120</v>
      </c>
      <c r="F386" s="130">
        <v>19140</v>
      </c>
      <c r="G386" s="125">
        <f t="shared" si="16"/>
        <v>2296800</v>
      </c>
      <c r="H386" s="106"/>
      <c r="J386" s="74"/>
      <c r="K386" s="74"/>
    </row>
    <row r="387" spans="1:11" ht="15.75">
      <c r="A387" s="61"/>
      <c r="B387" s="217"/>
      <c r="C387" s="48" t="s">
        <v>442</v>
      </c>
      <c r="D387" s="37" t="s">
        <v>145</v>
      </c>
      <c r="E387" s="60">
        <v>60</v>
      </c>
      <c r="F387" s="130">
        <v>96000</v>
      </c>
      <c r="G387" s="125">
        <f t="shared" si="16"/>
        <v>5760000</v>
      </c>
      <c r="H387" s="106"/>
      <c r="J387" s="74"/>
      <c r="K387" s="74"/>
    </row>
    <row r="388" spans="1:11" ht="15.75">
      <c r="A388" s="61"/>
      <c r="B388" s="217"/>
      <c r="C388" s="48" t="s">
        <v>1031</v>
      </c>
      <c r="D388" s="37" t="s">
        <v>43</v>
      </c>
      <c r="E388" s="60">
        <v>25</v>
      </c>
      <c r="F388" s="130">
        <v>227000</v>
      </c>
      <c r="G388" s="125">
        <f t="shared" si="16"/>
        <v>5675000</v>
      </c>
      <c r="H388" s="106"/>
      <c r="J388" s="74"/>
      <c r="K388" s="74"/>
    </row>
    <row r="389" spans="1:11" ht="15.75">
      <c r="A389" s="61"/>
      <c r="B389" s="217"/>
      <c r="C389" s="48" t="s">
        <v>1030</v>
      </c>
      <c r="D389" s="37" t="s">
        <v>43</v>
      </c>
      <c r="E389" s="60">
        <v>30</v>
      </c>
      <c r="F389" s="130">
        <v>227000</v>
      </c>
      <c r="G389" s="125">
        <f t="shared" si="16"/>
        <v>6810000</v>
      </c>
      <c r="H389" s="106"/>
      <c r="J389" s="74"/>
      <c r="K389" s="74"/>
    </row>
    <row r="390" spans="1:11" ht="15.75">
      <c r="A390" s="61"/>
      <c r="B390" s="217"/>
      <c r="C390" s="48" t="s">
        <v>1032</v>
      </c>
      <c r="D390" s="37" t="s">
        <v>43</v>
      </c>
      <c r="E390" s="60">
        <v>40</v>
      </c>
      <c r="F390" s="130">
        <v>300000</v>
      </c>
      <c r="G390" s="125">
        <f t="shared" si="16"/>
        <v>12000000</v>
      </c>
      <c r="H390" s="106"/>
      <c r="J390" s="74"/>
      <c r="K390" s="74"/>
    </row>
    <row r="391" spans="1:11" ht="15.75">
      <c r="A391" s="234"/>
      <c r="B391" s="235"/>
      <c r="C391" s="229" t="s">
        <v>1033</v>
      </c>
      <c r="D391" s="230" t="s">
        <v>43</v>
      </c>
      <c r="E391" s="231">
        <v>30</v>
      </c>
      <c r="F391" s="232">
        <v>50000</v>
      </c>
      <c r="G391" s="143">
        <f t="shared" si="16"/>
        <v>1500000</v>
      </c>
      <c r="H391" s="251"/>
      <c r="J391" s="74"/>
      <c r="K391" s="74"/>
    </row>
    <row r="392" spans="1:9" ht="31.5">
      <c r="A392" s="61"/>
      <c r="B392" s="69"/>
      <c r="C392" s="48" t="s">
        <v>714</v>
      </c>
      <c r="D392" s="37" t="s">
        <v>20</v>
      </c>
      <c r="E392" s="77">
        <v>305.4</v>
      </c>
      <c r="F392" s="130"/>
      <c r="G392" s="130">
        <f>F392*E392</f>
        <v>0</v>
      </c>
      <c r="H392" s="106"/>
      <c r="I392" s="111"/>
    </row>
    <row r="393" spans="1:9" ht="15.75">
      <c r="A393" s="54"/>
      <c r="B393" s="55"/>
      <c r="C393" s="29" t="s">
        <v>195</v>
      </c>
      <c r="D393" s="37"/>
      <c r="E393" s="84"/>
      <c r="F393" s="125"/>
      <c r="G393" s="125"/>
      <c r="H393" s="105"/>
      <c r="I393" s="111"/>
    </row>
    <row r="394" spans="1:9" ht="93" customHeight="1">
      <c r="A394" s="54"/>
      <c r="B394" s="30"/>
      <c r="C394" s="29" t="s">
        <v>795</v>
      </c>
      <c r="D394" s="37" t="s">
        <v>20</v>
      </c>
      <c r="E394" s="84">
        <v>305.4</v>
      </c>
      <c r="F394" s="125">
        <v>14174000</v>
      </c>
      <c r="G394" s="125">
        <f>F394*E394</f>
        <v>4328739600</v>
      </c>
      <c r="H394" s="105"/>
      <c r="I394" s="111"/>
    </row>
    <row r="395" spans="1:9" ht="21" customHeight="1">
      <c r="A395" s="54"/>
      <c r="B395" s="30"/>
      <c r="C395" s="29" t="s">
        <v>28</v>
      </c>
      <c r="D395" s="37" t="s">
        <v>20</v>
      </c>
      <c r="E395" s="84">
        <f>5.3*2</f>
        <v>10.6</v>
      </c>
      <c r="F395" s="125">
        <v>85000</v>
      </c>
      <c r="G395" s="125">
        <f aca="true" t="shared" si="17" ref="G395:G414">F395*E395</f>
        <v>901000</v>
      </c>
      <c r="H395" s="106" t="s">
        <v>187</v>
      </c>
      <c r="I395" s="111"/>
    </row>
    <row r="396" spans="1:9" ht="31.5">
      <c r="A396" s="61"/>
      <c r="B396" s="62"/>
      <c r="C396" s="30" t="s">
        <v>439</v>
      </c>
      <c r="D396" s="37" t="s">
        <v>20</v>
      </c>
      <c r="E396" s="60">
        <f>(7.8+9.6+4+6.23+5.72+16.78)*2</f>
        <v>100.26</v>
      </c>
      <c r="F396" s="125">
        <v>325000</v>
      </c>
      <c r="G396" s="125">
        <f t="shared" si="17"/>
        <v>32584500</v>
      </c>
      <c r="H396" s="106"/>
      <c r="I396" s="111"/>
    </row>
    <row r="397" spans="1:9" ht="30.75" customHeight="1">
      <c r="A397" s="61"/>
      <c r="B397" s="62"/>
      <c r="C397" s="48" t="s">
        <v>39</v>
      </c>
      <c r="D397" s="37" t="s">
        <v>20</v>
      </c>
      <c r="E397" s="50">
        <f>7.5*1.6</f>
        <v>12</v>
      </c>
      <c r="F397" s="125">
        <v>110000</v>
      </c>
      <c r="G397" s="125">
        <f t="shared" si="17"/>
        <v>1320000</v>
      </c>
      <c r="H397" s="106"/>
      <c r="I397" s="111"/>
    </row>
    <row r="398" spans="1:9" ht="15.75">
      <c r="A398" s="61"/>
      <c r="B398" s="62"/>
      <c r="C398" s="29" t="s">
        <v>1000</v>
      </c>
      <c r="D398" s="49" t="s">
        <v>43</v>
      </c>
      <c r="E398" s="50">
        <v>7</v>
      </c>
      <c r="F398" s="125">
        <v>600000</v>
      </c>
      <c r="G398" s="125">
        <f t="shared" si="17"/>
        <v>4200000</v>
      </c>
      <c r="H398" s="106"/>
      <c r="I398" s="111"/>
    </row>
    <row r="399" spans="1:9" ht="18.75">
      <c r="A399" s="61"/>
      <c r="B399" s="30"/>
      <c r="C399" s="29" t="s">
        <v>135</v>
      </c>
      <c r="D399" s="37" t="s">
        <v>20</v>
      </c>
      <c r="E399" s="60">
        <v>20</v>
      </c>
      <c r="F399" s="125">
        <v>6000</v>
      </c>
      <c r="G399" s="125">
        <f t="shared" si="17"/>
        <v>120000</v>
      </c>
      <c r="H399" s="106"/>
      <c r="I399" s="111"/>
    </row>
    <row r="400" spans="1:9" ht="15.75">
      <c r="A400" s="61"/>
      <c r="B400" s="30"/>
      <c r="C400" s="29" t="s">
        <v>1034</v>
      </c>
      <c r="D400" s="221" t="s">
        <v>43</v>
      </c>
      <c r="E400" s="60">
        <v>1</v>
      </c>
      <c r="F400" s="125">
        <v>800000</v>
      </c>
      <c r="G400" s="125">
        <f t="shared" si="17"/>
        <v>800000</v>
      </c>
      <c r="H400" s="106"/>
      <c r="I400" s="111"/>
    </row>
    <row r="401" spans="1:9" ht="39" customHeight="1">
      <c r="A401" s="61"/>
      <c r="B401" s="30"/>
      <c r="C401" s="29" t="s">
        <v>1035</v>
      </c>
      <c r="D401" s="221" t="s">
        <v>43</v>
      </c>
      <c r="E401" s="60">
        <v>3</v>
      </c>
      <c r="F401" s="125">
        <v>500000</v>
      </c>
      <c r="G401" s="125">
        <f t="shared" si="17"/>
        <v>1500000</v>
      </c>
      <c r="H401" s="106"/>
      <c r="I401" s="111"/>
    </row>
    <row r="402" spans="1:9" ht="35.25" customHeight="1">
      <c r="A402" s="61"/>
      <c r="B402" s="30"/>
      <c r="C402" s="29" t="s">
        <v>1036</v>
      </c>
      <c r="D402" s="221" t="s">
        <v>43</v>
      </c>
      <c r="E402" s="60">
        <v>2</v>
      </c>
      <c r="F402" s="125">
        <v>300000</v>
      </c>
      <c r="G402" s="125">
        <f t="shared" si="17"/>
        <v>600000</v>
      </c>
      <c r="H402" s="106"/>
      <c r="I402" s="111"/>
    </row>
    <row r="403" spans="1:9" ht="22.5" customHeight="1">
      <c r="A403" s="61"/>
      <c r="B403" s="30"/>
      <c r="C403" s="29" t="s">
        <v>1037</v>
      </c>
      <c r="D403" s="221" t="s">
        <v>43</v>
      </c>
      <c r="E403" s="60">
        <v>3</v>
      </c>
      <c r="F403" s="125">
        <v>100000</v>
      </c>
      <c r="G403" s="125">
        <f t="shared" si="17"/>
        <v>300000</v>
      </c>
      <c r="H403" s="106"/>
      <c r="I403" s="111"/>
    </row>
    <row r="404" spans="1:9" ht="15.75">
      <c r="A404" s="61"/>
      <c r="B404" s="30"/>
      <c r="C404" s="29" t="s">
        <v>1038</v>
      </c>
      <c r="D404" s="221" t="s">
        <v>43</v>
      </c>
      <c r="E404" s="60">
        <v>1</v>
      </c>
      <c r="F404" s="125">
        <v>1200000</v>
      </c>
      <c r="G404" s="125">
        <f t="shared" si="17"/>
        <v>1200000</v>
      </c>
      <c r="H404" s="106"/>
      <c r="I404" s="111"/>
    </row>
    <row r="405" spans="1:9" ht="15.75">
      <c r="A405" s="61"/>
      <c r="B405" s="30"/>
      <c r="C405" s="29" t="s">
        <v>1039</v>
      </c>
      <c r="D405" s="221" t="s">
        <v>43</v>
      </c>
      <c r="E405" s="60">
        <v>1</v>
      </c>
      <c r="F405" s="125">
        <v>800000</v>
      </c>
      <c r="G405" s="125">
        <f t="shared" si="17"/>
        <v>800000</v>
      </c>
      <c r="H405" s="106"/>
      <c r="I405" s="111"/>
    </row>
    <row r="406" spans="1:9" ht="44.25" customHeight="1">
      <c r="A406" s="61"/>
      <c r="B406" s="30"/>
      <c r="C406" s="29" t="s">
        <v>1040</v>
      </c>
      <c r="D406" s="221" t="s">
        <v>43</v>
      </c>
      <c r="E406" s="60">
        <v>1</v>
      </c>
      <c r="F406" s="125">
        <v>2000000</v>
      </c>
      <c r="G406" s="125">
        <f t="shared" si="17"/>
        <v>2000000</v>
      </c>
      <c r="H406" s="106"/>
      <c r="I406" s="111"/>
    </row>
    <row r="407" spans="1:9" ht="18.75">
      <c r="A407" s="61"/>
      <c r="B407" s="30"/>
      <c r="C407" s="29" t="s">
        <v>440</v>
      </c>
      <c r="D407" s="37" t="s">
        <v>20</v>
      </c>
      <c r="E407" s="60">
        <v>2</v>
      </c>
      <c r="F407" s="125">
        <v>30000</v>
      </c>
      <c r="G407" s="125">
        <f t="shared" si="17"/>
        <v>60000</v>
      </c>
      <c r="H407" s="106"/>
      <c r="I407" s="111"/>
    </row>
    <row r="408" spans="1:9" ht="15.75">
      <c r="A408" s="61"/>
      <c r="B408" s="30"/>
      <c r="C408" s="29" t="s">
        <v>1136</v>
      </c>
      <c r="D408" s="221" t="s">
        <v>43</v>
      </c>
      <c r="E408" s="60">
        <v>1</v>
      </c>
      <c r="F408" s="125">
        <v>300000</v>
      </c>
      <c r="G408" s="125">
        <f t="shared" si="17"/>
        <v>300000</v>
      </c>
      <c r="H408" s="106"/>
      <c r="I408" s="111"/>
    </row>
    <row r="409" spans="1:9" ht="18.75">
      <c r="A409" s="61"/>
      <c r="B409" s="30"/>
      <c r="C409" s="29" t="s">
        <v>477</v>
      </c>
      <c r="D409" s="37" t="s">
        <v>20</v>
      </c>
      <c r="E409" s="60">
        <v>10</v>
      </c>
      <c r="F409" s="125">
        <v>39000</v>
      </c>
      <c r="G409" s="125">
        <f t="shared" si="17"/>
        <v>390000</v>
      </c>
      <c r="H409" s="106"/>
      <c r="I409" s="111"/>
    </row>
    <row r="410" spans="1:9" ht="18.75">
      <c r="A410" s="61"/>
      <c r="B410" s="30"/>
      <c r="C410" s="29" t="s">
        <v>441</v>
      </c>
      <c r="D410" s="37" t="s">
        <v>20</v>
      </c>
      <c r="E410" s="60">
        <v>1</v>
      </c>
      <c r="F410" s="125">
        <v>60000</v>
      </c>
      <c r="G410" s="125">
        <f t="shared" si="17"/>
        <v>60000</v>
      </c>
      <c r="H410" s="106"/>
      <c r="I410" s="111"/>
    </row>
    <row r="411" spans="1:9" ht="15.75">
      <c r="A411" s="61"/>
      <c r="B411" s="30"/>
      <c r="C411" s="29" t="s">
        <v>302</v>
      </c>
      <c r="D411" s="221" t="s">
        <v>145</v>
      </c>
      <c r="E411" s="60">
        <v>4</v>
      </c>
      <c r="F411" s="125">
        <v>240000</v>
      </c>
      <c r="G411" s="125">
        <f t="shared" si="17"/>
        <v>960000</v>
      </c>
      <c r="H411" s="106"/>
      <c r="I411" s="111"/>
    </row>
    <row r="412" spans="1:9" ht="15.75">
      <c r="A412" s="61"/>
      <c r="B412" s="30"/>
      <c r="C412" s="29" t="s">
        <v>1041</v>
      </c>
      <c r="D412" s="221" t="s">
        <v>43</v>
      </c>
      <c r="E412" s="60">
        <v>1</v>
      </c>
      <c r="F412" s="125">
        <v>250000</v>
      </c>
      <c r="G412" s="125">
        <f t="shared" si="17"/>
        <v>250000</v>
      </c>
      <c r="H412" s="106"/>
      <c r="I412" s="111"/>
    </row>
    <row r="413" spans="1:9" ht="15.75">
      <c r="A413" s="61"/>
      <c r="B413" s="30"/>
      <c r="C413" s="29" t="s">
        <v>1042</v>
      </c>
      <c r="D413" s="221" t="s">
        <v>43</v>
      </c>
      <c r="E413" s="60">
        <v>2</v>
      </c>
      <c r="F413" s="125">
        <v>1200000</v>
      </c>
      <c r="G413" s="125">
        <f t="shared" si="17"/>
        <v>2400000</v>
      </c>
      <c r="H413" s="106"/>
      <c r="I413" s="111"/>
    </row>
    <row r="414" spans="1:9" ht="15.75">
      <c r="A414" s="61"/>
      <c r="B414" s="30"/>
      <c r="C414" s="48" t="s">
        <v>1043</v>
      </c>
      <c r="D414" s="221" t="s">
        <v>43</v>
      </c>
      <c r="E414" s="60">
        <v>1</v>
      </c>
      <c r="F414" s="130">
        <v>128000</v>
      </c>
      <c r="G414" s="125">
        <f t="shared" si="17"/>
        <v>128000</v>
      </c>
      <c r="H414" s="106"/>
      <c r="I414" s="111"/>
    </row>
    <row r="415" spans="1:9" ht="15.75">
      <c r="A415" s="42"/>
      <c r="B415" s="201" t="s">
        <v>5</v>
      </c>
      <c r="C415" s="44"/>
      <c r="D415" s="45"/>
      <c r="E415" s="46"/>
      <c r="F415" s="133"/>
      <c r="G415" s="156">
        <f>SUM(G372:G414)</f>
        <v>13474521700</v>
      </c>
      <c r="H415" s="261"/>
      <c r="I415" s="111"/>
    </row>
    <row r="416" spans="1:11" ht="31.5">
      <c r="A416" s="54">
        <v>26</v>
      </c>
      <c r="B416" s="55" t="s">
        <v>146</v>
      </c>
      <c r="C416" s="56" t="s">
        <v>632</v>
      </c>
      <c r="D416" s="37" t="s">
        <v>20</v>
      </c>
      <c r="E416" s="57">
        <v>250.3</v>
      </c>
      <c r="F416" s="125"/>
      <c r="G416" s="125"/>
      <c r="H416" s="285" t="s">
        <v>150</v>
      </c>
      <c r="J416" s="74"/>
      <c r="K416" s="74"/>
    </row>
    <row r="417" spans="1:11" ht="15.75">
      <c r="A417" s="54"/>
      <c r="B417" s="62" t="s">
        <v>151</v>
      </c>
      <c r="C417" s="29" t="s">
        <v>195</v>
      </c>
      <c r="D417" s="37"/>
      <c r="E417" s="84"/>
      <c r="F417" s="125"/>
      <c r="G417" s="125"/>
      <c r="H417" s="105"/>
      <c r="J417" s="74"/>
      <c r="K417" s="74"/>
    </row>
    <row r="418" spans="1:11" ht="130.5" customHeight="1">
      <c r="A418" s="54"/>
      <c r="B418" s="30" t="s">
        <v>523</v>
      </c>
      <c r="C418" s="229" t="s">
        <v>943</v>
      </c>
      <c r="D418" s="37" t="s">
        <v>20</v>
      </c>
      <c r="E418" s="84">
        <v>250.3</v>
      </c>
      <c r="F418" s="125">
        <v>2551000</v>
      </c>
      <c r="G418" s="125">
        <f>F418*E418</f>
        <v>638515300</v>
      </c>
      <c r="H418" s="105"/>
      <c r="J418" s="74"/>
      <c r="K418" s="74"/>
    </row>
    <row r="419" spans="1:11" ht="18.75">
      <c r="A419" s="61"/>
      <c r="B419" s="62" t="s">
        <v>18</v>
      </c>
      <c r="C419" s="30" t="s">
        <v>147</v>
      </c>
      <c r="D419" s="37" t="s">
        <v>32</v>
      </c>
      <c r="E419" s="60">
        <f>35.68*2.5*0.2</f>
        <v>17.84</v>
      </c>
      <c r="F419" s="130">
        <v>1250000</v>
      </c>
      <c r="G419" s="125">
        <f>F419*E419</f>
        <v>22300000</v>
      </c>
      <c r="H419" s="106"/>
      <c r="J419" s="74"/>
      <c r="K419" s="74"/>
    </row>
    <row r="420" spans="1:11" ht="18.75">
      <c r="A420" s="61"/>
      <c r="B420" s="62"/>
      <c r="C420" s="48" t="s">
        <v>148</v>
      </c>
      <c r="D420" s="37" t="s">
        <v>32</v>
      </c>
      <c r="E420" s="50">
        <f>(0.2*0.2*4.3)*9</f>
        <v>1.548</v>
      </c>
      <c r="F420" s="125">
        <v>5944000</v>
      </c>
      <c r="G420" s="125">
        <f>F420*E420</f>
        <v>9201312</v>
      </c>
      <c r="H420" s="106"/>
      <c r="J420" s="74"/>
      <c r="K420" s="74"/>
    </row>
    <row r="421" spans="1:11" ht="15.75">
      <c r="A421" s="61"/>
      <c r="B421" s="47"/>
      <c r="C421" s="29" t="s">
        <v>877</v>
      </c>
      <c r="D421" s="49" t="s">
        <v>43</v>
      </c>
      <c r="E421" s="50">
        <v>2</v>
      </c>
      <c r="F421" s="125">
        <v>600000</v>
      </c>
      <c r="G421" s="125">
        <f>F421*E421</f>
        <v>1200000</v>
      </c>
      <c r="H421" s="106"/>
      <c r="J421" s="74"/>
      <c r="K421" s="74"/>
    </row>
    <row r="422" spans="1:11" ht="21" customHeight="1">
      <c r="A422" s="42"/>
      <c r="B422" s="43" t="s">
        <v>5</v>
      </c>
      <c r="C422" s="44"/>
      <c r="D422" s="45"/>
      <c r="E422" s="46"/>
      <c r="F422" s="133"/>
      <c r="G422" s="156">
        <f>SUM(G416:G421)</f>
        <v>671216612</v>
      </c>
      <c r="H422" s="261"/>
      <c r="J422" s="74"/>
      <c r="K422" s="74"/>
    </row>
    <row r="423" spans="1:11" ht="31.5">
      <c r="A423" s="54">
        <v>27</v>
      </c>
      <c r="B423" s="55" t="s">
        <v>152</v>
      </c>
      <c r="C423" s="56" t="s">
        <v>633</v>
      </c>
      <c r="D423" s="37" t="s">
        <v>20</v>
      </c>
      <c r="E423" s="57">
        <v>111.3</v>
      </c>
      <c r="F423" s="125"/>
      <c r="G423" s="125"/>
      <c r="H423" s="105"/>
      <c r="J423" s="74"/>
      <c r="K423" s="74"/>
    </row>
    <row r="424" spans="1:11" ht="15.75">
      <c r="A424" s="54"/>
      <c r="B424" s="62" t="s">
        <v>17</v>
      </c>
      <c r="C424" s="29" t="s">
        <v>195</v>
      </c>
      <c r="D424" s="37"/>
      <c r="E424" s="84"/>
      <c r="F424" s="125"/>
      <c r="G424" s="125"/>
      <c r="H424" s="105"/>
      <c r="J424" s="74"/>
      <c r="K424" s="74"/>
    </row>
    <row r="425" spans="1:11" ht="128.25" customHeight="1">
      <c r="A425" s="54"/>
      <c r="B425" s="30" t="s">
        <v>969</v>
      </c>
      <c r="C425" s="48" t="s">
        <v>937</v>
      </c>
      <c r="D425" s="37" t="s">
        <v>20</v>
      </c>
      <c r="E425" s="77">
        <v>111.3</v>
      </c>
      <c r="F425" s="125">
        <v>4420000</v>
      </c>
      <c r="G425" s="125">
        <f>F425*E425</f>
        <v>491946000</v>
      </c>
      <c r="H425" s="105"/>
      <c r="J425" s="74"/>
      <c r="K425" s="74"/>
    </row>
    <row r="426" spans="1:11" ht="71.25" customHeight="1">
      <c r="A426" s="54"/>
      <c r="B426" s="62" t="s">
        <v>153</v>
      </c>
      <c r="C426" s="29" t="s">
        <v>193</v>
      </c>
      <c r="D426" s="49" t="s">
        <v>20</v>
      </c>
      <c r="E426" s="84">
        <f>(8.68*5.3)+(3.67*3.5)+(2.5*3.65)</f>
        <v>67.97399999999999</v>
      </c>
      <c r="F426" s="125">
        <f>3230000</f>
        <v>3230000</v>
      </c>
      <c r="G426" s="125">
        <f>F426*E426</f>
        <v>219556019.99999997</v>
      </c>
      <c r="H426" s="105"/>
      <c r="J426" s="74"/>
      <c r="K426" s="74"/>
    </row>
    <row r="427" spans="1:11" ht="44.25" customHeight="1">
      <c r="A427" s="61"/>
      <c r="B427" s="62"/>
      <c r="C427" s="30" t="s">
        <v>154</v>
      </c>
      <c r="D427" s="37" t="s">
        <v>32</v>
      </c>
      <c r="E427" s="60">
        <f>(7.75*1*0.1)+(1*1.3*0.1)</f>
        <v>0.905</v>
      </c>
      <c r="F427" s="125">
        <f>7030000</f>
        <v>7030000</v>
      </c>
      <c r="G427" s="125">
        <f aca="true" t="shared" si="18" ref="G427:G448">F427*E427</f>
        <v>6362150</v>
      </c>
      <c r="H427" s="106"/>
      <c r="J427" s="74"/>
      <c r="K427" s="74"/>
    </row>
    <row r="428" spans="1:11" ht="69.75" customHeight="1">
      <c r="A428" s="61"/>
      <c r="B428" s="30"/>
      <c r="C428" s="48" t="s">
        <v>155</v>
      </c>
      <c r="D428" s="37" t="s">
        <v>20</v>
      </c>
      <c r="E428" s="50">
        <f>7.9*8</f>
        <v>63.2</v>
      </c>
      <c r="F428" s="125">
        <f>3230000</f>
        <v>3230000</v>
      </c>
      <c r="G428" s="125">
        <f t="shared" si="18"/>
        <v>204136000</v>
      </c>
      <c r="H428" s="213"/>
      <c r="J428" s="74"/>
      <c r="K428" s="74"/>
    </row>
    <row r="429" spans="1:11" ht="31.5">
      <c r="A429" s="61"/>
      <c r="B429" s="62"/>
      <c r="C429" s="29" t="s">
        <v>156</v>
      </c>
      <c r="D429" s="37" t="s">
        <v>20</v>
      </c>
      <c r="E429" s="50">
        <f>((8+8.2)*5.4)/2</f>
        <v>43.74</v>
      </c>
      <c r="F429" s="125">
        <v>736000</v>
      </c>
      <c r="G429" s="125">
        <f t="shared" si="18"/>
        <v>32192640</v>
      </c>
      <c r="H429" s="106"/>
      <c r="J429" s="74"/>
      <c r="K429" s="74"/>
    </row>
    <row r="430" spans="1:11" ht="18.75">
      <c r="A430" s="61"/>
      <c r="B430" s="62"/>
      <c r="C430" s="29" t="s">
        <v>21</v>
      </c>
      <c r="D430" s="37" t="s">
        <v>20</v>
      </c>
      <c r="E430" s="50">
        <f>4.4*3.2</f>
        <v>14.080000000000002</v>
      </c>
      <c r="F430" s="125">
        <v>325000</v>
      </c>
      <c r="G430" s="125">
        <f t="shared" si="18"/>
        <v>4576000.000000001</v>
      </c>
      <c r="H430" s="106"/>
      <c r="J430" s="74"/>
      <c r="K430" s="74"/>
    </row>
    <row r="431" spans="1:11" ht="18.75">
      <c r="A431" s="61"/>
      <c r="B431" s="62"/>
      <c r="C431" s="29" t="s">
        <v>27</v>
      </c>
      <c r="D431" s="37" t="s">
        <v>32</v>
      </c>
      <c r="E431" s="50">
        <f>(0.3*0.3*2.3)*2</f>
        <v>0.414</v>
      </c>
      <c r="F431" s="125">
        <f>1854000</f>
        <v>1854000</v>
      </c>
      <c r="G431" s="125">
        <f t="shared" si="18"/>
        <v>767556</v>
      </c>
      <c r="H431" s="106"/>
      <c r="J431" s="74"/>
      <c r="K431" s="74"/>
    </row>
    <row r="432" spans="1:11" ht="18.75">
      <c r="A432" s="61"/>
      <c r="B432" s="62"/>
      <c r="C432" s="29" t="s">
        <v>25</v>
      </c>
      <c r="D432" s="37" t="s">
        <v>32</v>
      </c>
      <c r="E432" s="50">
        <f>(((5.15+2.9+2.92+2.65)*3.2)*0.2)+(2.83*2.7*0.2)</f>
        <v>10.245000000000001</v>
      </c>
      <c r="F432" s="125">
        <f>1250000</f>
        <v>1250000</v>
      </c>
      <c r="G432" s="125">
        <f t="shared" si="18"/>
        <v>12806250.000000002</v>
      </c>
      <c r="H432" s="106"/>
      <c r="J432" s="74"/>
      <c r="K432" s="74"/>
    </row>
    <row r="433" spans="1:11" ht="18.75">
      <c r="A433" s="61"/>
      <c r="B433" s="62"/>
      <c r="C433" s="29" t="s">
        <v>26</v>
      </c>
      <c r="D433" s="37" t="s">
        <v>20</v>
      </c>
      <c r="E433" s="50">
        <f>(((5.15+2.9+2.92+2.65)*3.2)*2)+((2.83*2.7)*2)</f>
        <v>102.45</v>
      </c>
      <c r="F433" s="130">
        <v>82000</v>
      </c>
      <c r="G433" s="125">
        <f t="shared" si="18"/>
        <v>8400900</v>
      </c>
      <c r="H433" s="106"/>
      <c r="J433" s="74"/>
      <c r="K433" s="74"/>
    </row>
    <row r="434" spans="1:11" ht="18.75">
      <c r="A434" s="61"/>
      <c r="B434" s="62"/>
      <c r="C434" s="29" t="s">
        <v>116</v>
      </c>
      <c r="D434" s="37" t="s">
        <v>20</v>
      </c>
      <c r="E434" s="50">
        <f>(5.15*1.25)+(3.7*1.5)+(3.75*1.4)</f>
        <v>17.2375</v>
      </c>
      <c r="F434" s="125">
        <v>240000</v>
      </c>
      <c r="G434" s="125">
        <f t="shared" si="18"/>
        <v>4137000</v>
      </c>
      <c r="H434" s="106"/>
      <c r="J434" s="74"/>
      <c r="K434" s="74"/>
    </row>
    <row r="435" spans="1:11" ht="31.5">
      <c r="A435" s="61"/>
      <c r="B435" s="62"/>
      <c r="C435" s="29" t="s">
        <v>79</v>
      </c>
      <c r="D435" s="37" t="s">
        <v>20</v>
      </c>
      <c r="E435" s="50">
        <f>2.5*2.2</f>
        <v>5.5</v>
      </c>
      <c r="F435" s="130">
        <v>498000</v>
      </c>
      <c r="G435" s="125">
        <f t="shared" si="18"/>
        <v>2739000</v>
      </c>
      <c r="H435" s="106"/>
      <c r="J435" s="74"/>
      <c r="K435" s="74"/>
    </row>
    <row r="436" spans="1:11" ht="18.75">
      <c r="A436" s="61"/>
      <c r="B436" s="62"/>
      <c r="C436" s="29" t="s">
        <v>30</v>
      </c>
      <c r="D436" s="37" t="s">
        <v>20</v>
      </c>
      <c r="E436" s="50">
        <f>1.8*5.5</f>
        <v>9.9</v>
      </c>
      <c r="F436" s="125">
        <v>240000</v>
      </c>
      <c r="G436" s="125">
        <f t="shared" si="18"/>
        <v>2376000</v>
      </c>
      <c r="H436" s="106"/>
      <c r="J436" s="74"/>
      <c r="K436" s="74"/>
    </row>
    <row r="437" spans="1:11" ht="15.75">
      <c r="A437" s="61"/>
      <c r="B437" s="62"/>
      <c r="C437" s="29" t="s">
        <v>836</v>
      </c>
      <c r="D437" s="64" t="s">
        <v>210</v>
      </c>
      <c r="E437" s="50">
        <v>88</v>
      </c>
      <c r="F437" s="125">
        <v>13640</v>
      </c>
      <c r="G437" s="125">
        <f t="shared" si="18"/>
        <v>1200320</v>
      </c>
      <c r="H437" s="105" t="s">
        <v>903</v>
      </c>
      <c r="J437" s="74"/>
      <c r="K437" s="74"/>
    </row>
    <row r="438" spans="1:11" ht="15.75">
      <c r="A438" s="61"/>
      <c r="B438" s="62"/>
      <c r="C438" s="29" t="s">
        <v>872</v>
      </c>
      <c r="D438" s="64" t="s">
        <v>210</v>
      </c>
      <c r="E438" s="50">
        <v>70</v>
      </c>
      <c r="F438" s="125">
        <v>44770</v>
      </c>
      <c r="G438" s="125">
        <f t="shared" si="18"/>
        <v>3133900</v>
      </c>
      <c r="H438" s="105" t="s">
        <v>903</v>
      </c>
      <c r="J438" s="74"/>
      <c r="K438" s="74"/>
    </row>
    <row r="439" spans="1:11" ht="15.75">
      <c r="A439" s="61"/>
      <c r="B439" s="62"/>
      <c r="C439" s="29" t="s">
        <v>843</v>
      </c>
      <c r="D439" s="64" t="s">
        <v>210</v>
      </c>
      <c r="E439" s="50">
        <v>8</v>
      </c>
      <c r="F439" s="130">
        <v>106810</v>
      </c>
      <c r="G439" s="125">
        <f t="shared" si="18"/>
        <v>854480</v>
      </c>
      <c r="H439" s="105" t="s">
        <v>903</v>
      </c>
      <c r="J439" s="74"/>
      <c r="K439" s="74"/>
    </row>
    <row r="440" spans="1:11" ht="18.75">
      <c r="A440" s="61"/>
      <c r="B440" s="62"/>
      <c r="C440" s="29" t="s">
        <v>157</v>
      </c>
      <c r="D440" s="37" t="s">
        <v>32</v>
      </c>
      <c r="E440" s="50">
        <f>2.8*1.2*0.2</f>
        <v>0.672</v>
      </c>
      <c r="F440" s="130">
        <f>1684000</f>
        <v>1684000</v>
      </c>
      <c r="G440" s="125">
        <f t="shared" si="18"/>
        <v>1131648</v>
      </c>
      <c r="H440" s="106"/>
      <c r="J440" s="74"/>
      <c r="K440" s="74"/>
    </row>
    <row r="441" spans="1:11" ht="31.5">
      <c r="A441" s="61"/>
      <c r="B441" s="62"/>
      <c r="C441" s="29" t="s">
        <v>844</v>
      </c>
      <c r="D441" s="49" t="s">
        <v>42</v>
      </c>
      <c r="E441" s="50">
        <v>2</v>
      </c>
      <c r="F441" s="125">
        <f>250000+(1000000*3)+318000</f>
        <v>3568000</v>
      </c>
      <c r="G441" s="125">
        <f t="shared" si="18"/>
        <v>7136000</v>
      </c>
      <c r="H441" s="106"/>
      <c r="J441" s="74"/>
      <c r="K441" s="74"/>
    </row>
    <row r="442" spans="1:11" ht="15.75">
      <c r="A442" s="61"/>
      <c r="B442" s="62"/>
      <c r="C442" s="29" t="s">
        <v>188</v>
      </c>
      <c r="D442" s="49" t="s">
        <v>42</v>
      </c>
      <c r="E442" s="50">
        <v>1</v>
      </c>
      <c r="F442" s="125">
        <v>820000</v>
      </c>
      <c r="G442" s="125">
        <f t="shared" si="18"/>
        <v>820000</v>
      </c>
      <c r="H442" s="106" t="s">
        <v>187</v>
      </c>
      <c r="J442" s="74"/>
      <c r="K442" s="74"/>
    </row>
    <row r="443" spans="1:11" ht="18.75">
      <c r="A443" s="61"/>
      <c r="B443" s="62"/>
      <c r="C443" s="29" t="s">
        <v>28</v>
      </c>
      <c r="D443" s="37" t="s">
        <v>20</v>
      </c>
      <c r="E443" s="50">
        <f>2.4*2.4</f>
        <v>5.76</v>
      </c>
      <c r="F443" s="125">
        <v>85000</v>
      </c>
      <c r="G443" s="125">
        <f t="shared" si="18"/>
        <v>489600</v>
      </c>
      <c r="H443" s="105" t="s">
        <v>187</v>
      </c>
      <c r="J443" s="74"/>
      <c r="K443" s="74"/>
    </row>
    <row r="444" spans="1:11" ht="15.75">
      <c r="A444" s="61"/>
      <c r="B444" s="62"/>
      <c r="C444" s="29" t="s">
        <v>827</v>
      </c>
      <c r="D444" s="49" t="s">
        <v>37</v>
      </c>
      <c r="E444" s="50">
        <v>15</v>
      </c>
      <c r="F444" s="125">
        <v>20000</v>
      </c>
      <c r="G444" s="125">
        <f t="shared" si="18"/>
        <v>300000</v>
      </c>
      <c r="H444" s="106" t="s">
        <v>187</v>
      </c>
      <c r="J444" s="74"/>
      <c r="K444" s="74"/>
    </row>
    <row r="445" spans="1:11" ht="15.75">
      <c r="A445" s="61"/>
      <c r="B445" s="62"/>
      <c r="C445" s="29" t="s">
        <v>829</v>
      </c>
      <c r="D445" s="49" t="s">
        <v>37</v>
      </c>
      <c r="E445" s="50">
        <v>15</v>
      </c>
      <c r="F445" s="125">
        <v>20000</v>
      </c>
      <c r="G445" s="125">
        <f t="shared" si="18"/>
        <v>300000</v>
      </c>
      <c r="H445" s="106" t="s">
        <v>187</v>
      </c>
      <c r="J445" s="74"/>
      <c r="K445" s="74"/>
    </row>
    <row r="446" spans="1:11" ht="15.75">
      <c r="A446" s="61"/>
      <c r="B446" s="62"/>
      <c r="C446" s="29" t="s">
        <v>830</v>
      </c>
      <c r="D446" s="49" t="s">
        <v>37</v>
      </c>
      <c r="E446" s="50">
        <v>15</v>
      </c>
      <c r="F446" s="125">
        <v>20000</v>
      </c>
      <c r="G446" s="125">
        <f t="shared" si="18"/>
        <v>300000</v>
      </c>
      <c r="H446" s="106" t="s">
        <v>187</v>
      </c>
      <c r="J446" s="74"/>
      <c r="K446" s="74"/>
    </row>
    <row r="447" spans="1:11" ht="15.75">
      <c r="A447" s="61"/>
      <c r="B447" s="62"/>
      <c r="C447" s="29" t="s">
        <v>839</v>
      </c>
      <c r="D447" s="49" t="s">
        <v>37</v>
      </c>
      <c r="E447" s="50">
        <v>1</v>
      </c>
      <c r="F447" s="125">
        <v>40000</v>
      </c>
      <c r="G447" s="125">
        <f t="shared" si="18"/>
        <v>40000</v>
      </c>
      <c r="H447" s="106" t="s">
        <v>187</v>
      </c>
      <c r="J447" s="74"/>
      <c r="K447" s="74"/>
    </row>
    <row r="448" spans="1:11" ht="15.75">
      <c r="A448" s="61"/>
      <c r="B448" s="62"/>
      <c r="C448" s="29" t="s">
        <v>845</v>
      </c>
      <c r="D448" s="49" t="s">
        <v>37</v>
      </c>
      <c r="E448" s="50">
        <v>1</v>
      </c>
      <c r="F448" s="125">
        <v>40000</v>
      </c>
      <c r="G448" s="125">
        <f t="shared" si="18"/>
        <v>40000</v>
      </c>
      <c r="H448" s="106" t="s">
        <v>187</v>
      </c>
      <c r="J448" s="74"/>
      <c r="K448" s="74"/>
    </row>
    <row r="449" spans="1:11" ht="18" customHeight="1">
      <c r="A449" s="42"/>
      <c r="B449" s="43" t="s">
        <v>5</v>
      </c>
      <c r="C449" s="44"/>
      <c r="D449" s="45"/>
      <c r="E449" s="46"/>
      <c r="F449" s="133"/>
      <c r="G449" s="156">
        <f>SUM(G423:G448)</f>
        <v>1005741464</v>
      </c>
      <c r="H449" s="261"/>
      <c r="J449" s="74"/>
      <c r="K449" s="74"/>
    </row>
    <row r="450" spans="1:11" ht="40.5" customHeight="1">
      <c r="A450" s="54">
        <v>28</v>
      </c>
      <c r="B450" s="55" t="s">
        <v>158</v>
      </c>
      <c r="C450" s="56" t="s">
        <v>634</v>
      </c>
      <c r="D450" s="37" t="s">
        <v>20</v>
      </c>
      <c r="E450" s="57">
        <v>55.8</v>
      </c>
      <c r="F450" s="125"/>
      <c r="G450" s="125"/>
      <c r="H450" s="105"/>
      <c r="J450" s="74"/>
      <c r="K450" s="74"/>
    </row>
    <row r="451" spans="1:11" ht="22.5" customHeight="1">
      <c r="A451" s="54"/>
      <c r="B451" s="62" t="s">
        <v>160</v>
      </c>
      <c r="C451" s="29" t="s">
        <v>195</v>
      </c>
      <c r="D451" s="37"/>
      <c r="E451" s="84"/>
      <c r="F451" s="125"/>
      <c r="G451" s="125"/>
      <c r="H451" s="105"/>
      <c r="J451" s="74"/>
      <c r="K451" s="74"/>
    </row>
    <row r="452" spans="1:11" ht="124.5" customHeight="1">
      <c r="A452" s="54"/>
      <c r="B452" s="30" t="s">
        <v>525</v>
      </c>
      <c r="C452" s="48" t="s">
        <v>937</v>
      </c>
      <c r="D452" s="37" t="s">
        <v>20</v>
      </c>
      <c r="E452" s="84">
        <v>55.8</v>
      </c>
      <c r="F452" s="125">
        <v>4420000</v>
      </c>
      <c r="G452" s="125">
        <f>F452*E452</f>
        <v>246636000</v>
      </c>
      <c r="H452" s="105"/>
      <c r="J452" s="74"/>
      <c r="K452" s="74"/>
    </row>
    <row r="453" spans="1:11" ht="82.5" customHeight="1">
      <c r="A453" s="61"/>
      <c r="B453" s="62" t="s">
        <v>159</v>
      </c>
      <c r="C453" s="30" t="s">
        <v>161</v>
      </c>
      <c r="D453" s="37" t="s">
        <v>20</v>
      </c>
      <c r="E453" s="60">
        <f>5*11.2</f>
        <v>56</v>
      </c>
      <c r="F453" s="130">
        <f>3230000-(8%*3230000)-(5%*3230000)</f>
        <v>2810100</v>
      </c>
      <c r="G453" s="125">
        <f>F453*E453</f>
        <v>157365600</v>
      </c>
      <c r="H453" s="213" t="s">
        <v>307</v>
      </c>
      <c r="J453" s="74"/>
      <c r="K453" s="74"/>
    </row>
    <row r="454" spans="1:11" ht="63">
      <c r="A454" s="61"/>
      <c r="B454" s="62"/>
      <c r="C454" s="48" t="s">
        <v>200</v>
      </c>
      <c r="D454" s="37" t="s">
        <v>20</v>
      </c>
      <c r="E454" s="50">
        <f>4.25*5</f>
        <v>21.25</v>
      </c>
      <c r="F454" s="125">
        <f>3230000-(8%*3230000)-150000</f>
        <v>2821600</v>
      </c>
      <c r="G454" s="125">
        <f aca="true" t="shared" si="19" ref="G454:G466">F454*E454</f>
        <v>59959000</v>
      </c>
      <c r="H454" s="213" t="s">
        <v>764</v>
      </c>
      <c r="J454" s="74"/>
      <c r="K454" s="74"/>
    </row>
    <row r="455" spans="1:11" ht="18.75">
      <c r="A455" s="61"/>
      <c r="B455" s="62"/>
      <c r="C455" s="29" t="s">
        <v>27</v>
      </c>
      <c r="D455" s="37" t="s">
        <v>32</v>
      </c>
      <c r="E455" s="50">
        <f>(0.3*0.3*2.5)*3</f>
        <v>0.6749999999999999</v>
      </c>
      <c r="F455" s="125">
        <f>1854000</f>
        <v>1854000</v>
      </c>
      <c r="G455" s="125">
        <f t="shared" si="19"/>
        <v>1251449.9999999998</v>
      </c>
      <c r="H455" s="106"/>
      <c r="J455" s="74"/>
      <c r="K455" s="74"/>
    </row>
    <row r="456" spans="1:11" ht="18.75">
      <c r="A456" s="61"/>
      <c r="B456" s="62"/>
      <c r="C456" s="29" t="s">
        <v>26</v>
      </c>
      <c r="D456" s="37" t="s">
        <v>20</v>
      </c>
      <c r="E456" s="50">
        <f>(0.3*2.5)*12</f>
        <v>9</v>
      </c>
      <c r="F456" s="130">
        <v>82000</v>
      </c>
      <c r="G456" s="125">
        <f t="shared" si="19"/>
        <v>738000</v>
      </c>
      <c r="H456" s="106"/>
      <c r="J456" s="74"/>
      <c r="K456" s="74"/>
    </row>
    <row r="457" spans="1:11" ht="18.75">
      <c r="A457" s="61"/>
      <c r="B457" s="62"/>
      <c r="C457" s="29" t="s">
        <v>28</v>
      </c>
      <c r="D457" s="37" t="s">
        <v>20</v>
      </c>
      <c r="E457" s="50">
        <f>1.85*1.85</f>
        <v>3.4225000000000003</v>
      </c>
      <c r="F457" s="125">
        <v>85000</v>
      </c>
      <c r="G457" s="125">
        <f t="shared" si="19"/>
        <v>290912.5</v>
      </c>
      <c r="H457" s="105" t="s">
        <v>187</v>
      </c>
      <c r="J457" s="74"/>
      <c r="K457" s="74"/>
    </row>
    <row r="458" spans="1:11" ht="18.75">
      <c r="A458" s="61"/>
      <c r="B458" s="62"/>
      <c r="C458" s="29" t="s">
        <v>120</v>
      </c>
      <c r="D458" s="37" t="s">
        <v>20</v>
      </c>
      <c r="E458" s="50">
        <f>(3*2.5)+(5.6*2.5)</f>
        <v>21.5</v>
      </c>
      <c r="F458" s="125">
        <v>325000</v>
      </c>
      <c r="G458" s="125">
        <f t="shared" si="19"/>
        <v>6987500</v>
      </c>
      <c r="H458" s="106"/>
      <c r="J458" s="74"/>
      <c r="K458" s="74"/>
    </row>
    <row r="459" spans="1:11" ht="18.75">
      <c r="A459" s="61"/>
      <c r="B459" s="62"/>
      <c r="C459" s="29" t="s">
        <v>36</v>
      </c>
      <c r="D459" s="37" t="s">
        <v>20</v>
      </c>
      <c r="E459" s="50">
        <f>(0.6*11.2)+(1.8*5.6)</f>
        <v>16.8</v>
      </c>
      <c r="F459" s="125">
        <v>125000</v>
      </c>
      <c r="G459" s="125">
        <f t="shared" si="19"/>
        <v>2100000</v>
      </c>
      <c r="H459" s="106"/>
      <c r="J459" s="74"/>
      <c r="K459" s="74"/>
    </row>
    <row r="460" spans="1:11" ht="31.5">
      <c r="A460" s="61"/>
      <c r="B460" s="62"/>
      <c r="C460" s="29" t="s">
        <v>47</v>
      </c>
      <c r="D460" s="37" t="s">
        <v>20</v>
      </c>
      <c r="E460" s="50">
        <f>2.2*5.6</f>
        <v>12.32</v>
      </c>
      <c r="F460" s="130">
        <v>498000</v>
      </c>
      <c r="G460" s="125">
        <f t="shared" si="19"/>
        <v>6135360</v>
      </c>
      <c r="H460" s="106"/>
      <c r="J460" s="74"/>
      <c r="K460" s="74"/>
    </row>
    <row r="461" spans="1:11" ht="31.5">
      <c r="A461" s="61"/>
      <c r="B461" s="62"/>
      <c r="C461" s="29" t="s">
        <v>162</v>
      </c>
      <c r="D461" s="37" t="s">
        <v>20</v>
      </c>
      <c r="E461" s="50">
        <f>0.6*4</f>
        <v>2.4</v>
      </c>
      <c r="F461" s="125">
        <f>410000</f>
        <v>410000</v>
      </c>
      <c r="G461" s="125">
        <f t="shared" si="19"/>
        <v>984000</v>
      </c>
      <c r="H461" s="106"/>
      <c r="J461" s="74"/>
      <c r="K461" s="74"/>
    </row>
    <row r="462" spans="1:11" ht="15.75">
      <c r="A462" s="61"/>
      <c r="B462" s="62"/>
      <c r="C462" s="29" t="s">
        <v>836</v>
      </c>
      <c r="D462" s="64" t="s">
        <v>210</v>
      </c>
      <c r="E462" s="50">
        <v>25</v>
      </c>
      <c r="F462" s="125">
        <v>13640</v>
      </c>
      <c r="G462" s="125">
        <f t="shared" si="19"/>
        <v>341000</v>
      </c>
      <c r="H462" s="105" t="s">
        <v>903</v>
      </c>
      <c r="J462" s="74"/>
      <c r="K462" s="74"/>
    </row>
    <row r="463" spans="1:11" ht="15.75">
      <c r="A463" s="61"/>
      <c r="B463" s="62"/>
      <c r="C463" s="29" t="s">
        <v>828</v>
      </c>
      <c r="D463" s="49" t="s">
        <v>37</v>
      </c>
      <c r="E463" s="50">
        <v>3</v>
      </c>
      <c r="F463" s="125">
        <v>40000</v>
      </c>
      <c r="G463" s="125">
        <f t="shared" si="19"/>
        <v>120000</v>
      </c>
      <c r="H463" s="106" t="s">
        <v>187</v>
      </c>
      <c r="J463" s="74"/>
      <c r="K463" s="74"/>
    </row>
    <row r="464" spans="1:11" ht="15.75">
      <c r="A464" s="61"/>
      <c r="B464" s="62"/>
      <c r="C464" s="29" t="s">
        <v>833</v>
      </c>
      <c r="D464" s="49" t="s">
        <v>37</v>
      </c>
      <c r="E464" s="50">
        <v>4</v>
      </c>
      <c r="F464" s="125">
        <v>20000</v>
      </c>
      <c r="G464" s="125">
        <f t="shared" si="19"/>
        <v>80000</v>
      </c>
      <c r="H464" s="106" t="s">
        <v>187</v>
      </c>
      <c r="J464" s="74"/>
      <c r="K464" s="74"/>
    </row>
    <row r="465" spans="1:11" ht="15.75">
      <c r="A465" s="61"/>
      <c r="B465" s="62"/>
      <c r="C465" s="29" t="s">
        <v>827</v>
      </c>
      <c r="D465" s="49" t="s">
        <v>37</v>
      </c>
      <c r="E465" s="50">
        <v>7</v>
      </c>
      <c r="F465" s="125">
        <v>20000</v>
      </c>
      <c r="G465" s="125">
        <f t="shared" si="19"/>
        <v>140000</v>
      </c>
      <c r="H465" s="106" t="s">
        <v>187</v>
      </c>
      <c r="J465" s="74"/>
      <c r="K465" s="74"/>
    </row>
    <row r="466" spans="1:11" ht="15.75">
      <c r="A466" s="61"/>
      <c r="B466" s="62"/>
      <c r="C466" s="29" t="s">
        <v>829</v>
      </c>
      <c r="D466" s="49" t="s">
        <v>37</v>
      </c>
      <c r="E466" s="50">
        <v>2</v>
      </c>
      <c r="F466" s="125">
        <v>20000</v>
      </c>
      <c r="G466" s="125">
        <f t="shared" si="19"/>
        <v>40000</v>
      </c>
      <c r="H466" s="106" t="s">
        <v>187</v>
      </c>
      <c r="J466" s="74"/>
      <c r="K466" s="74"/>
    </row>
    <row r="467" spans="1:11" ht="15.75">
      <c r="A467" s="42"/>
      <c r="B467" s="43" t="s">
        <v>5</v>
      </c>
      <c r="C467" s="44"/>
      <c r="D467" s="45"/>
      <c r="E467" s="46"/>
      <c r="F467" s="133"/>
      <c r="G467" s="156">
        <f>SUM(G450:G466)</f>
        <v>483168822.5</v>
      </c>
      <c r="H467" s="261"/>
      <c r="J467" s="74"/>
      <c r="K467" s="74"/>
    </row>
    <row r="468" spans="1:11" ht="31.5">
      <c r="A468" s="54">
        <v>29</v>
      </c>
      <c r="B468" s="55" t="s">
        <v>163</v>
      </c>
      <c r="C468" s="56" t="s">
        <v>635</v>
      </c>
      <c r="D468" s="37" t="s">
        <v>20</v>
      </c>
      <c r="E468" s="57">
        <v>194</v>
      </c>
      <c r="F468" s="125"/>
      <c r="G468" s="125"/>
      <c r="H468" s="105"/>
      <c r="J468" s="74"/>
      <c r="K468" s="74"/>
    </row>
    <row r="469" spans="1:11" ht="20.25" customHeight="1">
      <c r="A469" s="54"/>
      <c r="B469" s="62" t="s">
        <v>17</v>
      </c>
      <c r="C469" s="29" t="s">
        <v>195</v>
      </c>
      <c r="D469" s="37"/>
      <c r="E469" s="77"/>
      <c r="F469" s="125"/>
      <c r="G469" s="125"/>
      <c r="H469" s="105"/>
      <c r="J469" s="74"/>
      <c r="K469" s="74"/>
    </row>
    <row r="470" spans="1:11" ht="101.25" customHeight="1">
      <c r="A470" s="54"/>
      <c r="B470" s="30" t="s">
        <v>524</v>
      </c>
      <c r="C470" s="29" t="s">
        <v>785</v>
      </c>
      <c r="D470" s="37" t="s">
        <v>20</v>
      </c>
      <c r="E470" s="84">
        <v>194</v>
      </c>
      <c r="F470" s="125">
        <v>5003000</v>
      </c>
      <c r="G470" s="125">
        <f>F470*E470</f>
        <v>970582000</v>
      </c>
      <c r="H470" s="105"/>
      <c r="J470" s="74"/>
      <c r="K470" s="74"/>
    </row>
    <row r="471" spans="1:11" ht="116.25" customHeight="1">
      <c r="A471" s="61"/>
      <c r="B471" s="62" t="s">
        <v>164</v>
      </c>
      <c r="C471" s="30" t="s">
        <v>186</v>
      </c>
      <c r="D471" s="37" t="s">
        <v>20</v>
      </c>
      <c r="E471" s="60">
        <f>15.5*4.85</f>
        <v>75.175</v>
      </c>
      <c r="F471" s="130">
        <f>3230000-(5%*3230000)</f>
        <v>3068500</v>
      </c>
      <c r="G471" s="125">
        <f>F471*E471</f>
        <v>230674487.5</v>
      </c>
      <c r="H471" s="213" t="s">
        <v>184</v>
      </c>
      <c r="J471" s="74"/>
      <c r="K471" s="74"/>
    </row>
    <row r="472" spans="1:11" ht="66.75" customHeight="1">
      <c r="A472" s="61"/>
      <c r="B472" s="236"/>
      <c r="C472" s="48" t="s">
        <v>165</v>
      </c>
      <c r="D472" s="37" t="s">
        <v>20</v>
      </c>
      <c r="E472" s="50">
        <f>2.9*1.8</f>
        <v>5.22</v>
      </c>
      <c r="F472" s="130">
        <f>3230000-(5%*3230000)</f>
        <v>3068500</v>
      </c>
      <c r="G472" s="125">
        <f aca="true" t="shared" si="20" ref="G472:G502">F472*E472</f>
        <v>16017570</v>
      </c>
      <c r="H472" s="213" t="s">
        <v>184</v>
      </c>
      <c r="J472" s="74"/>
      <c r="K472" s="74"/>
    </row>
    <row r="473" spans="1:11" ht="21" customHeight="1">
      <c r="A473" s="61"/>
      <c r="B473" s="236"/>
      <c r="C473" s="29" t="s">
        <v>166</v>
      </c>
      <c r="D473" s="37" t="s">
        <v>20</v>
      </c>
      <c r="E473" s="50">
        <f>5.2*4.85</f>
        <v>25.22</v>
      </c>
      <c r="F473" s="125">
        <v>230000</v>
      </c>
      <c r="G473" s="125">
        <f t="shared" si="20"/>
        <v>5800600</v>
      </c>
      <c r="H473" s="106"/>
      <c r="J473" s="74"/>
      <c r="K473" s="74"/>
    </row>
    <row r="474" spans="1:11" ht="63">
      <c r="A474" s="61"/>
      <c r="B474" s="62"/>
      <c r="C474" s="29" t="s">
        <v>167</v>
      </c>
      <c r="D474" s="37" t="s">
        <v>20</v>
      </c>
      <c r="E474" s="50">
        <f>2.9*1.8</f>
        <v>5.22</v>
      </c>
      <c r="F474" s="125">
        <f>2450000+160000</f>
        <v>2610000</v>
      </c>
      <c r="G474" s="125">
        <f t="shared" si="20"/>
        <v>13624200</v>
      </c>
      <c r="H474" s="105" t="s">
        <v>751</v>
      </c>
      <c r="J474" s="74"/>
      <c r="K474" s="74"/>
    </row>
    <row r="475" spans="1:11" ht="34.5">
      <c r="A475" s="61"/>
      <c r="B475" s="62"/>
      <c r="C475" s="29" t="s">
        <v>207</v>
      </c>
      <c r="D475" s="214" t="s">
        <v>208</v>
      </c>
      <c r="E475" s="50">
        <f>((2.9*1.5)*2+(1.8*1.5)+(1*1.5))</f>
        <v>12.899999999999999</v>
      </c>
      <c r="F475" s="125">
        <v>240000</v>
      </c>
      <c r="G475" s="125">
        <f t="shared" si="20"/>
        <v>3095999.9999999995</v>
      </c>
      <c r="H475" s="105"/>
      <c r="J475" s="74"/>
      <c r="K475" s="74"/>
    </row>
    <row r="476" spans="1:11" ht="31.5">
      <c r="A476" s="61"/>
      <c r="B476" s="62"/>
      <c r="C476" s="29" t="s">
        <v>47</v>
      </c>
      <c r="D476" s="37" t="s">
        <v>20</v>
      </c>
      <c r="E476" s="50">
        <f>(1.92*1.8)+(3.83*6.13)+(2.9*1.9)+(2*0.9)</f>
        <v>34.2439</v>
      </c>
      <c r="F476" s="130">
        <v>498000</v>
      </c>
      <c r="G476" s="125">
        <f t="shared" si="20"/>
        <v>17053462.2</v>
      </c>
      <c r="H476" s="106"/>
      <c r="J476" s="74"/>
      <c r="K476" s="74"/>
    </row>
    <row r="477" spans="1:11" ht="18.75">
      <c r="A477" s="61"/>
      <c r="B477" s="62"/>
      <c r="C477" s="29" t="s">
        <v>36</v>
      </c>
      <c r="D477" s="37" t="s">
        <v>20</v>
      </c>
      <c r="E477" s="50">
        <f>(4.53*6.4)+(2.5*1.8)+(4*4.8)+(8.1*2.4)</f>
        <v>72.132</v>
      </c>
      <c r="F477" s="125">
        <v>125000</v>
      </c>
      <c r="G477" s="125">
        <f t="shared" si="20"/>
        <v>9016500</v>
      </c>
      <c r="H477" s="106"/>
      <c r="J477" s="74"/>
      <c r="K477" s="74"/>
    </row>
    <row r="478" spans="1:11" ht="18.75">
      <c r="A478" s="61"/>
      <c r="B478" s="62"/>
      <c r="C478" s="29" t="s">
        <v>25</v>
      </c>
      <c r="D478" s="37" t="s">
        <v>32</v>
      </c>
      <c r="E478" s="50">
        <f>(3.6*0.4*0.2)+(4.53*2.5*0.1)+(1.2*0.5*0.2)+(4.4*2.5*0.1)+(5.6*2.7*0.2)</f>
        <v>5.6645</v>
      </c>
      <c r="F478" s="125">
        <f>1250000</f>
        <v>1250000</v>
      </c>
      <c r="G478" s="125">
        <f t="shared" si="20"/>
        <v>7080625</v>
      </c>
      <c r="H478" s="106"/>
      <c r="J478" s="74"/>
      <c r="K478" s="74"/>
    </row>
    <row r="479" spans="1:11" ht="18.75">
      <c r="A479" s="61"/>
      <c r="B479" s="62"/>
      <c r="C479" s="29" t="s">
        <v>113</v>
      </c>
      <c r="D479" s="37" t="s">
        <v>32</v>
      </c>
      <c r="E479" s="50">
        <f>1.53*0.7*0.4</f>
        <v>0.4284</v>
      </c>
      <c r="F479" s="125">
        <v>1175000</v>
      </c>
      <c r="G479" s="125">
        <f>F479*E479</f>
        <v>503370</v>
      </c>
      <c r="H479" s="106"/>
      <c r="I479" s="286"/>
      <c r="J479" s="287"/>
      <c r="K479" s="74"/>
    </row>
    <row r="480" spans="1:11" ht="18.75">
      <c r="A480" s="61"/>
      <c r="B480" s="62"/>
      <c r="C480" s="29" t="s">
        <v>168</v>
      </c>
      <c r="D480" s="37" t="s">
        <v>20</v>
      </c>
      <c r="E480" s="50">
        <f>(1.2*0.5)+(1.2*0.2)</f>
        <v>0.84</v>
      </c>
      <c r="F480" s="125">
        <v>364000</v>
      </c>
      <c r="G480" s="125">
        <f t="shared" si="20"/>
        <v>305760</v>
      </c>
      <c r="H480" s="106"/>
      <c r="I480" s="117"/>
      <c r="J480" s="74"/>
      <c r="K480" s="74"/>
    </row>
    <row r="481" spans="1:11" ht="18.75">
      <c r="A481" s="61"/>
      <c r="B481" s="62"/>
      <c r="C481" s="29" t="s">
        <v>26</v>
      </c>
      <c r="D481" s="37" t="s">
        <v>20</v>
      </c>
      <c r="E481" s="50">
        <f>(4.53*2.5)+((5.6*2.7)*2)+(1.2*0.5)+(4.4*2.5)+(3.6*0.4)+((0.4*3)*8)</f>
        <v>64.205</v>
      </c>
      <c r="F481" s="130">
        <v>82000</v>
      </c>
      <c r="G481" s="125">
        <f t="shared" si="20"/>
        <v>5264810</v>
      </c>
      <c r="H481" s="106"/>
      <c r="J481" s="74"/>
      <c r="K481" s="74"/>
    </row>
    <row r="482" spans="1:11" ht="18.75">
      <c r="A482" s="61"/>
      <c r="B482" s="62"/>
      <c r="C482" s="29" t="s">
        <v>27</v>
      </c>
      <c r="D482" s="37" t="s">
        <v>32</v>
      </c>
      <c r="E482" s="50">
        <f>(0.4*0.4*3)*2</f>
        <v>0.9600000000000002</v>
      </c>
      <c r="F482" s="125">
        <f>1854000</f>
        <v>1854000</v>
      </c>
      <c r="G482" s="125">
        <f t="shared" si="20"/>
        <v>1779840.0000000002</v>
      </c>
      <c r="H482" s="106"/>
      <c r="J482" s="74"/>
      <c r="K482" s="74"/>
    </row>
    <row r="483" spans="1:11" ht="18.75">
      <c r="A483" s="61"/>
      <c r="B483" s="62"/>
      <c r="C483" s="29" t="s">
        <v>28</v>
      </c>
      <c r="D483" s="37" t="s">
        <v>20</v>
      </c>
      <c r="E483" s="50">
        <f>2.55*2.3</f>
        <v>5.864999999999999</v>
      </c>
      <c r="F483" s="125">
        <v>85000</v>
      </c>
      <c r="G483" s="125">
        <f t="shared" si="20"/>
        <v>498524.99999999994</v>
      </c>
      <c r="H483" s="105" t="s">
        <v>187</v>
      </c>
      <c r="J483" s="74"/>
      <c r="K483" s="74"/>
    </row>
    <row r="484" spans="1:11" ht="18.75">
      <c r="A484" s="61"/>
      <c r="B484" s="62"/>
      <c r="C484" s="29" t="s">
        <v>41</v>
      </c>
      <c r="D484" s="37" t="s">
        <v>20</v>
      </c>
      <c r="E484" s="50">
        <v>1</v>
      </c>
      <c r="F484" s="125">
        <v>238000</v>
      </c>
      <c r="G484" s="125">
        <f t="shared" si="20"/>
        <v>238000</v>
      </c>
      <c r="H484" s="106"/>
      <c r="J484" s="74"/>
      <c r="K484" s="74"/>
    </row>
    <row r="485" spans="1:11" ht="15.75">
      <c r="A485" s="61"/>
      <c r="B485" s="62"/>
      <c r="C485" s="29" t="s">
        <v>872</v>
      </c>
      <c r="D485" s="64" t="s">
        <v>210</v>
      </c>
      <c r="E485" s="50">
        <v>10</v>
      </c>
      <c r="F485" s="125">
        <v>44770</v>
      </c>
      <c r="G485" s="125">
        <f t="shared" si="20"/>
        <v>447700</v>
      </c>
      <c r="H485" s="105" t="s">
        <v>903</v>
      </c>
      <c r="J485" s="74"/>
      <c r="K485" s="74"/>
    </row>
    <row r="486" spans="1:11" ht="15.75">
      <c r="A486" s="61"/>
      <c r="B486" s="62"/>
      <c r="C486" s="29" t="s">
        <v>873</v>
      </c>
      <c r="D486" s="64" t="s">
        <v>210</v>
      </c>
      <c r="E486" s="50">
        <v>40</v>
      </c>
      <c r="F486" s="125">
        <v>9680</v>
      </c>
      <c r="G486" s="125">
        <f t="shared" si="20"/>
        <v>387200</v>
      </c>
      <c r="H486" s="105" t="s">
        <v>903</v>
      </c>
      <c r="J486" s="74"/>
      <c r="K486" s="74"/>
    </row>
    <row r="487" spans="1:11" ht="15.75">
      <c r="A487" s="61"/>
      <c r="B487" s="62"/>
      <c r="C487" s="29" t="s">
        <v>876</v>
      </c>
      <c r="D487" s="64" t="s">
        <v>210</v>
      </c>
      <c r="E487" s="50">
        <v>40</v>
      </c>
      <c r="F487" s="130">
        <v>19140</v>
      </c>
      <c r="G487" s="125">
        <f t="shared" si="20"/>
        <v>765600</v>
      </c>
      <c r="H487" s="105" t="s">
        <v>903</v>
      </c>
      <c r="J487" s="74"/>
      <c r="K487" s="74"/>
    </row>
    <row r="488" spans="1:11" ht="39" customHeight="1">
      <c r="A488" s="61"/>
      <c r="B488" s="62"/>
      <c r="C488" s="29" t="s">
        <v>878</v>
      </c>
      <c r="D488" s="37" t="s">
        <v>42</v>
      </c>
      <c r="E488" s="50">
        <v>1</v>
      </c>
      <c r="F488" s="125">
        <f>250000+(1000000*1.5)+318000</f>
        <v>2068000</v>
      </c>
      <c r="G488" s="125">
        <f t="shared" si="20"/>
        <v>2068000</v>
      </c>
      <c r="H488" s="106"/>
      <c r="J488" s="74"/>
      <c r="K488" s="74"/>
    </row>
    <row r="489" spans="1:11" ht="18.75">
      <c r="A489" s="61"/>
      <c r="B489" s="62"/>
      <c r="C489" s="29" t="s">
        <v>170</v>
      </c>
      <c r="D489" s="37" t="s">
        <v>32</v>
      </c>
      <c r="E489" s="50">
        <f>((1.8*0.2)*0.1)*2</f>
        <v>0.07200000000000001</v>
      </c>
      <c r="F489" s="130">
        <f>1684000</f>
        <v>1684000</v>
      </c>
      <c r="G489" s="125">
        <f t="shared" si="20"/>
        <v>121248.00000000001</v>
      </c>
      <c r="H489" s="106"/>
      <c r="J489" s="74"/>
      <c r="K489" s="74"/>
    </row>
    <row r="490" spans="1:11" ht="15.75">
      <c r="A490" s="61"/>
      <c r="B490" s="62"/>
      <c r="C490" s="29" t="s">
        <v>1044</v>
      </c>
      <c r="D490" s="49" t="s">
        <v>43</v>
      </c>
      <c r="E490" s="50">
        <v>2</v>
      </c>
      <c r="F490" s="125">
        <v>682000</v>
      </c>
      <c r="G490" s="125">
        <f t="shared" si="20"/>
        <v>1364000</v>
      </c>
      <c r="H490" s="106"/>
      <c r="I490" s="110"/>
      <c r="J490" s="74"/>
      <c r="K490" s="74"/>
    </row>
    <row r="491" spans="1:11" ht="15.75">
      <c r="A491" s="61"/>
      <c r="B491" s="62"/>
      <c r="C491" s="29" t="s">
        <v>830</v>
      </c>
      <c r="D491" s="49" t="s">
        <v>37</v>
      </c>
      <c r="E491" s="50">
        <v>3</v>
      </c>
      <c r="F491" s="125">
        <v>20000</v>
      </c>
      <c r="G491" s="125">
        <f t="shared" si="20"/>
        <v>60000</v>
      </c>
      <c r="H491" s="106" t="s">
        <v>187</v>
      </c>
      <c r="J491" s="74"/>
      <c r="K491" s="74"/>
    </row>
    <row r="492" spans="1:11" ht="15.75">
      <c r="A492" s="61"/>
      <c r="B492" s="62"/>
      <c r="C492" s="29" t="s">
        <v>829</v>
      </c>
      <c r="D492" s="49" t="s">
        <v>37</v>
      </c>
      <c r="E492" s="50">
        <v>4</v>
      </c>
      <c r="F492" s="125">
        <v>20000</v>
      </c>
      <c r="G492" s="125">
        <f t="shared" si="20"/>
        <v>80000</v>
      </c>
      <c r="H492" s="106" t="s">
        <v>187</v>
      </c>
      <c r="J492" s="74"/>
      <c r="K492" s="74"/>
    </row>
    <row r="493" spans="1:11" ht="15.75">
      <c r="A493" s="61"/>
      <c r="B493" s="62"/>
      <c r="C493" s="29" t="s">
        <v>827</v>
      </c>
      <c r="D493" s="49" t="s">
        <v>37</v>
      </c>
      <c r="E493" s="50">
        <v>5</v>
      </c>
      <c r="F493" s="125">
        <v>20000</v>
      </c>
      <c r="G493" s="125">
        <f t="shared" si="20"/>
        <v>100000</v>
      </c>
      <c r="H493" s="106" t="s">
        <v>187</v>
      </c>
      <c r="J493" s="74"/>
      <c r="K493" s="74"/>
    </row>
    <row r="494" spans="1:11" ht="15.75">
      <c r="A494" s="61"/>
      <c r="B494" s="62"/>
      <c r="C494" s="29" t="s">
        <v>833</v>
      </c>
      <c r="D494" s="49" t="s">
        <v>37</v>
      </c>
      <c r="E494" s="50">
        <v>2</v>
      </c>
      <c r="F494" s="125">
        <v>20000</v>
      </c>
      <c r="G494" s="125">
        <f t="shared" si="20"/>
        <v>40000</v>
      </c>
      <c r="H494" s="106" t="s">
        <v>187</v>
      </c>
      <c r="J494" s="74"/>
      <c r="K494" s="74"/>
    </row>
    <row r="495" spans="1:11" ht="15.75">
      <c r="A495" s="61"/>
      <c r="B495" s="62"/>
      <c r="C495" s="29" t="s">
        <v>1045</v>
      </c>
      <c r="D495" s="49" t="s">
        <v>43</v>
      </c>
      <c r="E495" s="50">
        <v>1</v>
      </c>
      <c r="F495" s="125">
        <v>60000</v>
      </c>
      <c r="G495" s="125">
        <f t="shared" si="20"/>
        <v>60000</v>
      </c>
      <c r="H495" s="106"/>
      <c r="J495" s="74"/>
      <c r="K495" s="74"/>
    </row>
    <row r="496" spans="1:11" ht="15.75">
      <c r="A496" s="61"/>
      <c r="B496" s="62"/>
      <c r="C496" s="29" t="s">
        <v>1046</v>
      </c>
      <c r="D496" s="49" t="s">
        <v>43</v>
      </c>
      <c r="E496" s="50">
        <v>1</v>
      </c>
      <c r="F496" s="125">
        <v>300000</v>
      </c>
      <c r="G496" s="125">
        <f t="shared" si="20"/>
        <v>300000</v>
      </c>
      <c r="H496" s="106"/>
      <c r="J496" s="74"/>
      <c r="K496" s="74"/>
    </row>
    <row r="497" spans="1:11" ht="15.75">
      <c r="A497" s="61"/>
      <c r="B497" s="62"/>
      <c r="C497" s="29" t="s">
        <v>1047</v>
      </c>
      <c r="D497" s="49" t="s">
        <v>43</v>
      </c>
      <c r="E497" s="50">
        <v>1</v>
      </c>
      <c r="F497" s="125">
        <v>128000</v>
      </c>
      <c r="G497" s="125">
        <f t="shared" si="20"/>
        <v>128000</v>
      </c>
      <c r="H497" s="106"/>
      <c r="J497" s="74"/>
      <c r="K497" s="74"/>
    </row>
    <row r="498" spans="1:11" ht="15.75">
      <c r="A498" s="61"/>
      <c r="B498" s="30"/>
      <c r="C498" s="29" t="s">
        <v>999</v>
      </c>
      <c r="D498" s="49" t="s">
        <v>43</v>
      </c>
      <c r="E498" s="60">
        <v>1</v>
      </c>
      <c r="F498" s="125">
        <v>180000</v>
      </c>
      <c r="G498" s="125">
        <f t="shared" si="20"/>
        <v>180000</v>
      </c>
      <c r="H498" s="106"/>
      <c r="J498" s="74"/>
      <c r="K498" s="74"/>
    </row>
    <row r="499" spans="1:11" ht="15.75">
      <c r="A499" s="61"/>
      <c r="B499" s="30"/>
      <c r="C499" s="29" t="s">
        <v>1048</v>
      </c>
      <c r="D499" s="49" t="s">
        <v>43</v>
      </c>
      <c r="E499" s="60">
        <v>1</v>
      </c>
      <c r="F499" s="125">
        <v>40000</v>
      </c>
      <c r="G499" s="125">
        <f t="shared" si="20"/>
        <v>40000</v>
      </c>
      <c r="H499" s="106"/>
      <c r="J499" s="74"/>
      <c r="K499" s="74"/>
    </row>
    <row r="500" spans="1:11" ht="15.75">
      <c r="A500" s="61"/>
      <c r="B500" s="30"/>
      <c r="C500" s="29" t="s">
        <v>1049</v>
      </c>
      <c r="D500" s="49" t="s">
        <v>43</v>
      </c>
      <c r="E500" s="60">
        <v>1</v>
      </c>
      <c r="F500" s="125">
        <v>200000</v>
      </c>
      <c r="G500" s="125">
        <f t="shared" si="20"/>
        <v>200000</v>
      </c>
      <c r="H500" s="106"/>
      <c r="J500" s="74"/>
      <c r="K500" s="74"/>
    </row>
    <row r="501" spans="1:11" ht="18.75">
      <c r="A501" s="61"/>
      <c r="B501" s="30"/>
      <c r="C501" s="29" t="s">
        <v>201</v>
      </c>
      <c r="D501" s="37" t="s">
        <v>20</v>
      </c>
      <c r="E501" s="60">
        <v>2</v>
      </c>
      <c r="F501" s="125">
        <v>30000</v>
      </c>
      <c r="G501" s="125">
        <f t="shared" si="20"/>
        <v>60000</v>
      </c>
      <c r="H501" s="106"/>
      <c r="J501" s="74"/>
      <c r="K501" s="74"/>
    </row>
    <row r="502" spans="1:11" ht="18.75">
      <c r="A502" s="61"/>
      <c r="B502" s="30"/>
      <c r="C502" s="29" t="s">
        <v>171</v>
      </c>
      <c r="D502" s="37" t="s">
        <v>20</v>
      </c>
      <c r="E502" s="60">
        <v>1</v>
      </c>
      <c r="F502" s="125">
        <v>60000</v>
      </c>
      <c r="G502" s="125">
        <f t="shared" si="20"/>
        <v>60000</v>
      </c>
      <c r="H502" s="106"/>
      <c r="J502" s="74"/>
      <c r="K502" s="74"/>
    </row>
    <row r="503" spans="1:11" ht="15.75">
      <c r="A503" s="42"/>
      <c r="B503" s="43" t="s">
        <v>5</v>
      </c>
      <c r="C503" s="44"/>
      <c r="D503" s="45"/>
      <c r="E503" s="46"/>
      <c r="F503" s="133"/>
      <c r="G503" s="156">
        <f>SUM(G468:G502)</f>
        <v>1287997497.7</v>
      </c>
      <c r="H503" s="261"/>
      <c r="J503" s="74"/>
      <c r="K503" s="74"/>
    </row>
    <row r="504" spans="1:11" ht="31.5">
      <c r="A504" s="54">
        <v>30</v>
      </c>
      <c r="B504" s="55" t="s">
        <v>172</v>
      </c>
      <c r="C504" s="56" t="s">
        <v>636</v>
      </c>
      <c r="D504" s="37" t="s">
        <v>20</v>
      </c>
      <c r="E504" s="57">
        <v>50.2</v>
      </c>
      <c r="F504" s="134"/>
      <c r="G504" s="154"/>
      <c r="H504" s="259"/>
      <c r="J504" s="74"/>
      <c r="K504" s="74"/>
    </row>
    <row r="505" spans="1:11" ht="15.75">
      <c r="A505" s="54"/>
      <c r="B505" s="62" t="s">
        <v>17</v>
      </c>
      <c r="C505" s="29" t="s">
        <v>195</v>
      </c>
      <c r="D505" s="37"/>
      <c r="E505" s="84"/>
      <c r="F505" s="125"/>
      <c r="G505" s="206"/>
      <c r="H505" s="105"/>
      <c r="J505" s="74"/>
      <c r="K505" s="74"/>
    </row>
    <row r="506" spans="1:11" ht="113.25" customHeight="1">
      <c r="A506" s="54"/>
      <c r="B506" s="30" t="s">
        <v>525</v>
      </c>
      <c r="C506" s="29" t="s">
        <v>814</v>
      </c>
      <c r="D506" s="37" t="s">
        <v>20</v>
      </c>
      <c r="E506" s="84">
        <v>40</v>
      </c>
      <c r="F506" s="125">
        <v>8504500</v>
      </c>
      <c r="G506" s="125">
        <f>F506*E506</f>
        <v>340180000</v>
      </c>
      <c r="H506" s="105"/>
      <c r="J506" s="74"/>
      <c r="K506" s="74"/>
    </row>
    <row r="507" spans="1:11" ht="128.25" customHeight="1">
      <c r="A507" s="54"/>
      <c r="B507" s="62" t="s">
        <v>173</v>
      </c>
      <c r="C507" s="29" t="s">
        <v>813</v>
      </c>
      <c r="D507" s="37" t="s">
        <v>20</v>
      </c>
      <c r="E507" s="84">
        <v>10.2</v>
      </c>
      <c r="F507" s="125">
        <v>6704500</v>
      </c>
      <c r="G507" s="125">
        <f>F507*E507</f>
        <v>68385900</v>
      </c>
      <c r="H507" s="105"/>
      <c r="J507" s="74"/>
      <c r="K507" s="74"/>
    </row>
    <row r="508" spans="1:11" ht="110.25" customHeight="1">
      <c r="A508" s="54"/>
      <c r="B508" s="62"/>
      <c r="C508" s="30" t="s">
        <v>174</v>
      </c>
      <c r="D508" s="37" t="s">
        <v>20</v>
      </c>
      <c r="E508" s="60">
        <f>(5.3*9.15)+(5.3*6.05)</f>
        <v>80.56</v>
      </c>
      <c r="F508" s="130">
        <v>4820000</v>
      </c>
      <c r="G508" s="125">
        <f>F508*E508</f>
        <v>388299200</v>
      </c>
      <c r="H508" s="105" t="s">
        <v>175</v>
      </c>
      <c r="J508" s="74"/>
      <c r="K508" s="74"/>
    </row>
    <row r="509" spans="1:11" ht="15.75">
      <c r="A509" s="54"/>
      <c r="B509" s="217"/>
      <c r="C509" s="29" t="s">
        <v>879</v>
      </c>
      <c r="D509" s="64" t="s">
        <v>210</v>
      </c>
      <c r="E509" s="84">
        <v>18</v>
      </c>
      <c r="F509" s="130">
        <v>106810</v>
      </c>
      <c r="G509" s="125">
        <f>F509*E509</f>
        <v>1922580</v>
      </c>
      <c r="H509" s="105" t="s">
        <v>903</v>
      </c>
      <c r="J509" s="74"/>
      <c r="K509" s="74"/>
    </row>
    <row r="510" spans="1:11" ht="15.75">
      <c r="A510" s="54"/>
      <c r="B510" s="47"/>
      <c r="C510" s="29" t="s">
        <v>827</v>
      </c>
      <c r="D510" s="49" t="s">
        <v>37</v>
      </c>
      <c r="E510" s="50">
        <v>3</v>
      </c>
      <c r="F510" s="125">
        <v>20000</v>
      </c>
      <c r="G510" s="125">
        <f>F510*E510</f>
        <v>60000</v>
      </c>
      <c r="H510" s="106" t="s">
        <v>187</v>
      </c>
      <c r="J510" s="74"/>
      <c r="K510" s="74"/>
    </row>
    <row r="511" spans="1:11" ht="15.75">
      <c r="A511" s="42"/>
      <c r="B511" s="43" t="s">
        <v>5</v>
      </c>
      <c r="C511" s="44"/>
      <c r="D511" s="45"/>
      <c r="E511" s="46"/>
      <c r="F511" s="133"/>
      <c r="G511" s="124">
        <f>SUM(G504:G510)</f>
        <v>798847680</v>
      </c>
      <c r="H511" s="261"/>
      <c r="J511" s="74"/>
      <c r="K511" s="74"/>
    </row>
    <row r="512" spans="1:11" ht="31.5">
      <c r="A512" s="54">
        <v>31</v>
      </c>
      <c r="B512" s="55" t="s">
        <v>211</v>
      </c>
      <c r="C512" s="56" t="s">
        <v>637</v>
      </c>
      <c r="D512" s="37" t="s">
        <v>20</v>
      </c>
      <c r="E512" s="57">
        <v>71.7</v>
      </c>
      <c r="F512" s="125"/>
      <c r="G512" s="125"/>
      <c r="H512" s="259"/>
      <c r="I512" s="110"/>
      <c r="J512" s="74"/>
      <c r="K512" s="74"/>
    </row>
    <row r="513" spans="1:11" ht="20.25" customHeight="1">
      <c r="A513" s="54"/>
      <c r="B513" s="55" t="s">
        <v>742</v>
      </c>
      <c r="C513" s="29" t="s">
        <v>195</v>
      </c>
      <c r="D513" s="49"/>
      <c r="E513" s="77"/>
      <c r="F513" s="125"/>
      <c r="G513" s="125"/>
      <c r="H513" s="105"/>
      <c r="J513" s="74"/>
      <c r="K513" s="74"/>
    </row>
    <row r="514" spans="1:11" ht="115.5" customHeight="1">
      <c r="A514" s="54"/>
      <c r="B514" s="30" t="s">
        <v>526</v>
      </c>
      <c r="C514" s="29" t="s">
        <v>970</v>
      </c>
      <c r="D514" s="37" t="s">
        <v>20</v>
      </c>
      <c r="E514" s="84">
        <v>20</v>
      </c>
      <c r="F514" s="125">
        <v>8504500</v>
      </c>
      <c r="G514" s="125">
        <f>F514*E514</f>
        <v>170090000</v>
      </c>
      <c r="H514" s="105"/>
      <c r="J514" s="74"/>
      <c r="K514" s="74"/>
    </row>
    <row r="515" spans="1:11" ht="142.5" customHeight="1">
      <c r="A515" s="54"/>
      <c r="B515" s="30" t="s">
        <v>214</v>
      </c>
      <c r="C515" s="29" t="s">
        <v>971</v>
      </c>
      <c r="D515" s="37" t="s">
        <v>20</v>
      </c>
      <c r="E515" s="84">
        <v>51.7</v>
      </c>
      <c r="F515" s="125">
        <v>6704500</v>
      </c>
      <c r="G515" s="125">
        <f>F515*E515</f>
        <v>346622650</v>
      </c>
      <c r="H515" s="105"/>
      <c r="J515" s="74"/>
      <c r="K515" s="74"/>
    </row>
    <row r="516" spans="1:11" ht="102" customHeight="1">
      <c r="A516" s="54"/>
      <c r="B516" s="30"/>
      <c r="C516" s="29" t="s">
        <v>310</v>
      </c>
      <c r="D516" s="37" t="s">
        <v>20</v>
      </c>
      <c r="E516" s="84">
        <f>8.05*8.5</f>
        <v>68.42500000000001</v>
      </c>
      <c r="F516" s="125">
        <f>3230000</f>
        <v>3230000</v>
      </c>
      <c r="G516" s="125">
        <f aca="true" t="shared" si="21" ref="G516:G521">F516*E516</f>
        <v>221012750.00000003</v>
      </c>
      <c r="H516" s="105"/>
      <c r="J516" s="74"/>
      <c r="K516" s="74"/>
    </row>
    <row r="517" spans="1:11" ht="31.5">
      <c r="A517" s="61"/>
      <c r="B517" s="217"/>
      <c r="C517" s="30" t="s">
        <v>213</v>
      </c>
      <c r="D517" s="37" t="s">
        <v>20</v>
      </c>
      <c r="E517" s="60">
        <f>1.7*8.05</f>
        <v>13.685</v>
      </c>
      <c r="F517" s="130">
        <v>498000</v>
      </c>
      <c r="G517" s="125">
        <f t="shared" si="21"/>
        <v>6815130</v>
      </c>
      <c r="H517" s="106"/>
      <c r="J517" s="74"/>
      <c r="K517" s="74"/>
    </row>
    <row r="518" spans="1:11" ht="18.75" customHeight="1">
      <c r="A518" s="61"/>
      <c r="B518" s="217"/>
      <c r="C518" s="48" t="s">
        <v>846</v>
      </c>
      <c r="D518" s="49" t="s">
        <v>210</v>
      </c>
      <c r="E518" s="50">
        <v>10</v>
      </c>
      <c r="F518" s="125"/>
      <c r="G518" s="125">
        <f t="shared" si="21"/>
        <v>0</v>
      </c>
      <c r="H518" s="106"/>
      <c r="J518" s="74"/>
      <c r="K518" s="74"/>
    </row>
    <row r="519" spans="1:11" ht="21.75" customHeight="1">
      <c r="A519" s="61"/>
      <c r="B519" s="47"/>
      <c r="C519" s="48" t="s">
        <v>873</v>
      </c>
      <c r="D519" s="64" t="s">
        <v>210</v>
      </c>
      <c r="E519" s="60">
        <v>14</v>
      </c>
      <c r="F519" s="125">
        <v>9680</v>
      </c>
      <c r="G519" s="125">
        <f t="shared" si="21"/>
        <v>135520</v>
      </c>
      <c r="H519" s="105" t="s">
        <v>903</v>
      </c>
      <c r="J519" s="74"/>
      <c r="K519" s="74"/>
    </row>
    <row r="520" spans="1:11" ht="21.75" customHeight="1">
      <c r="A520" s="61"/>
      <c r="B520" s="30"/>
      <c r="C520" s="48" t="s">
        <v>872</v>
      </c>
      <c r="D520" s="64" t="s">
        <v>210</v>
      </c>
      <c r="E520" s="60">
        <v>28</v>
      </c>
      <c r="F520" s="125">
        <v>44770</v>
      </c>
      <c r="G520" s="125">
        <f t="shared" si="21"/>
        <v>1253560</v>
      </c>
      <c r="H520" s="105" t="s">
        <v>903</v>
      </c>
      <c r="J520" s="74"/>
      <c r="K520" s="74"/>
    </row>
    <row r="521" spans="1:11" ht="34.5" customHeight="1">
      <c r="A521" s="140"/>
      <c r="B521" s="224"/>
      <c r="C521" s="183" t="s">
        <v>880</v>
      </c>
      <c r="D521" s="37" t="s">
        <v>32</v>
      </c>
      <c r="E521" s="225">
        <f>3.14*0.25*2</f>
        <v>1.57</v>
      </c>
      <c r="F521" s="130">
        <f>1684000</f>
        <v>1684000</v>
      </c>
      <c r="G521" s="125">
        <f t="shared" si="21"/>
        <v>2643880</v>
      </c>
      <c r="H521" s="144"/>
      <c r="J521" s="74"/>
      <c r="K521" s="74"/>
    </row>
    <row r="522" spans="1:11" ht="21.75" customHeight="1">
      <c r="A522" s="42"/>
      <c r="B522" s="43" t="s">
        <v>5</v>
      </c>
      <c r="C522" s="44"/>
      <c r="D522" s="45"/>
      <c r="E522" s="46"/>
      <c r="F522" s="133"/>
      <c r="G522" s="156">
        <f>SUM(G512:G521)</f>
        <v>748573490</v>
      </c>
      <c r="H522" s="261"/>
      <c r="J522" s="74"/>
      <c r="K522" s="74"/>
    </row>
    <row r="523" spans="1:11" ht="31.5">
      <c r="A523" s="54">
        <v>32</v>
      </c>
      <c r="B523" s="55" t="s">
        <v>215</v>
      </c>
      <c r="C523" s="56" t="s">
        <v>796</v>
      </c>
      <c r="D523" s="37" t="s">
        <v>20</v>
      </c>
      <c r="E523" s="50">
        <v>58.2</v>
      </c>
      <c r="F523" s="125"/>
      <c r="G523" s="125"/>
      <c r="H523" s="285" t="s">
        <v>212</v>
      </c>
      <c r="J523" s="74"/>
      <c r="K523" s="74"/>
    </row>
    <row r="524" spans="1:11" ht="25.5" customHeight="1">
      <c r="A524" s="54"/>
      <c r="B524" s="30" t="s">
        <v>1005</v>
      </c>
      <c r="C524" s="29" t="s">
        <v>195</v>
      </c>
      <c r="D524" s="37"/>
      <c r="E524" s="50"/>
      <c r="F524" s="125"/>
      <c r="G524" s="125"/>
      <c r="H524" s="105"/>
      <c r="J524" s="74"/>
      <c r="K524" s="74"/>
    </row>
    <row r="525" spans="1:11" ht="101.25" customHeight="1">
      <c r="A525" s="54"/>
      <c r="B525" s="30" t="s">
        <v>527</v>
      </c>
      <c r="C525" s="29" t="s">
        <v>814</v>
      </c>
      <c r="D525" s="37" t="s">
        <v>20</v>
      </c>
      <c r="E525" s="50">
        <v>20</v>
      </c>
      <c r="F525" s="125">
        <v>8504500</v>
      </c>
      <c r="G525" s="125">
        <f>F525*E525</f>
        <v>170090000</v>
      </c>
      <c r="H525" s="105"/>
      <c r="J525" s="74"/>
      <c r="K525" s="74"/>
    </row>
    <row r="526" spans="1:11" ht="130.5" customHeight="1">
      <c r="A526" s="54"/>
      <c r="B526" s="62"/>
      <c r="C526" s="29" t="s">
        <v>917</v>
      </c>
      <c r="D526" s="37" t="s">
        <v>20</v>
      </c>
      <c r="E526" s="50">
        <v>38.2</v>
      </c>
      <c r="F526" s="125">
        <v>6704500</v>
      </c>
      <c r="G526" s="125">
        <f>F526*E526</f>
        <v>256111900.00000003</v>
      </c>
      <c r="H526" s="105"/>
      <c r="J526" s="74"/>
      <c r="K526" s="74"/>
    </row>
    <row r="527" spans="1:11" ht="33" customHeight="1">
      <c r="A527" s="61"/>
      <c r="B527" s="55"/>
      <c r="C527" s="229" t="s">
        <v>216</v>
      </c>
      <c r="D527" s="37" t="s">
        <v>20</v>
      </c>
      <c r="E527" s="50">
        <f>(7.6*6)-(12.2+7.8)</f>
        <v>25.599999999999994</v>
      </c>
      <c r="F527" s="130">
        <v>736000</v>
      </c>
      <c r="G527" s="125">
        <f>F527*E527</f>
        <v>18841599.999999996</v>
      </c>
      <c r="H527" s="106"/>
      <c r="J527" s="74"/>
      <c r="K527" s="74"/>
    </row>
    <row r="528" spans="1:11" ht="65.25" customHeight="1">
      <c r="A528" s="61"/>
      <c r="B528" s="55"/>
      <c r="C528" s="48" t="s">
        <v>217</v>
      </c>
      <c r="D528" s="37" t="s">
        <v>20</v>
      </c>
      <c r="E528" s="50">
        <f>5.43*2.24</f>
        <v>12.1632</v>
      </c>
      <c r="F528" s="125">
        <f>3230000-(8%*3230000)-(5%*3230000)</f>
        <v>2810100</v>
      </c>
      <c r="G528" s="125">
        <f>F528*E528</f>
        <v>34179808.32</v>
      </c>
      <c r="H528" s="213" t="s">
        <v>481</v>
      </c>
      <c r="I528" s="118"/>
      <c r="J528" s="74"/>
      <c r="K528" s="74"/>
    </row>
    <row r="529" spans="1:11" ht="31.5">
      <c r="A529" s="61"/>
      <c r="B529" s="55"/>
      <c r="C529" s="29" t="s">
        <v>47</v>
      </c>
      <c r="D529" s="37" t="s">
        <v>20</v>
      </c>
      <c r="E529" s="50">
        <f>1.3*6</f>
        <v>7.800000000000001</v>
      </c>
      <c r="F529" s="130">
        <v>498000</v>
      </c>
      <c r="G529" s="125">
        <f aca="true" t="shared" si="22" ref="G529:G535">F529*E529</f>
        <v>3884400.0000000005</v>
      </c>
      <c r="H529" s="106"/>
      <c r="J529" s="74"/>
      <c r="K529" s="74"/>
    </row>
    <row r="530" spans="1:11" ht="20.25" customHeight="1">
      <c r="A530" s="61"/>
      <c r="B530" s="62"/>
      <c r="C530" s="29" t="s">
        <v>881</v>
      </c>
      <c r="D530" s="49" t="s">
        <v>42</v>
      </c>
      <c r="E530" s="50">
        <v>1</v>
      </c>
      <c r="F530" s="125">
        <v>193000</v>
      </c>
      <c r="G530" s="125">
        <f t="shared" si="22"/>
        <v>193000</v>
      </c>
      <c r="H530" s="106" t="s">
        <v>187</v>
      </c>
      <c r="J530" s="74"/>
      <c r="K530" s="74"/>
    </row>
    <row r="531" spans="1:11" ht="36" customHeight="1">
      <c r="A531" s="61"/>
      <c r="B531" s="237"/>
      <c r="C531" s="238" t="s">
        <v>218</v>
      </c>
      <c r="D531" s="49"/>
      <c r="E531" s="60"/>
      <c r="F531" s="125"/>
      <c r="G531" s="125">
        <f t="shared" si="22"/>
        <v>0</v>
      </c>
      <c r="H531" s="106"/>
      <c r="J531" s="74"/>
      <c r="K531" s="74"/>
    </row>
    <row r="532" spans="1:11" ht="63">
      <c r="A532" s="239"/>
      <c r="B532" s="240"/>
      <c r="C532" s="29" t="s">
        <v>305</v>
      </c>
      <c r="D532" s="37" t="s">
        <v>20</v>
      </c>
      <c r="E532" s="84">
        <f>4.6*5.46</f>
        <v>25.116</v>
      </c>
      <c r="F532" s="125">
        <f>3230000-(4%*3230000)</f>
        <v>3100800</v>
      </c>
      <c r="G532" s="125">
        <f t="shared" si="22"/>
        <v>77879692.8</v>
      </c>
      <c r="H532" s="241" t="s">
        <v>308</v>
      </c>
      <c r="J532" s="74"/>
      <c r="K532" s="74"/>
    </row>
    <row r="533" spans="1:11" ht="18.75">
      <c r="A533" s="239"/>
      <c r="B533" s="240"/>
      <c r="C533" s="30" t="s">
        <v>166</v>
      </c>
      <c r="D533" s="37" t="s">
        <v>20</v>
      </c>
      <c r="E533" s="60">
        <f>2.7*4.6</f>
        <v>12.42</v>
      </c>
      <c r="F533" s="125">
        <v>230000</v>
      </c>
      <c r="G533" s="125">
        <f t="shared" si="22"/>
        <v>2856600</v>
      </c>
      <c r="H533" s="106"/>
      <c r="J533" s="74"/>
      <c r="K533" s="74"/>
    </row>
    <row r="534" spans="1:11" ht="31.5">
      <c r="A534" s="239"/>
      <c r="B534" s="240"/>
      <c r="C534" s="48" t="s">
        <v>219</v>
      </c>
      <c r="D534" s="37" t="s">
        <v>20</v>
      </c>
      <c r="E534" s="50">
        <f>4.85*3.6</f>
        <v>17.46</v>
      </c>
      <c r="F534" s="125">
        <v>150000</v>
      </c>
      <c r="G534" s="125">
        <f t="shared" si="22"/>
        <v>2619000</v>
      </c>
      <c r="H534" s="106"/>
      <c r="J534" s="74"/>
      <c r="K534" s="74"/>
    </row>
    <row r="535" spans="1:11" ht="21.75" customHeight="1">
      <c r="A535" s="242"/>
      <c r="B535" s="74"/>
      <c r="C535" s="29" t="s">
        <v>847</v>
      </c>
      <c r="D535" s="49" t="s">
        <v>37</v>
      </c>
      <c r="E535" s="50">
        <v>12</v>
      </c>
      <c r="F535" s="125">
        <v>20000</v>
      </c>
      <c r="G535" s="125">
        <f t="shared" si="22"/>
        <v>240000</v>
      </c>
      <c r="H535" s="106" t="s">
        <v>187</v>
      </c>
      <c r="J535" s="74"/>
      <c r="K535" s="74"/>
    </row>
    <row r="536" spans="1:11" ht="21.75" customHeight="1">
      <c r="A536" s="42"/>
      <c r="B536" s="43" t="s">
        <v>5</v>
      </c>
      <c r="C536" s="44"/>
      <c r="D536" s="45"/>
      <c r="E536" s="46"/>
      <c r="F536" s="133"/>
      <c r="G536" s="156">
        <f>SUM(G523:G535)</f>
        <v>566896001.12</v>
      </c>
      <c r="H536" s="261"/>
      <c r="J536" s="74"/>
      <c r="K536" s="74"/>
    </row>
    <row r="537" spans="1:11" ht="30.75" customHeight="1">
      <c r="A537" s="54">
        <v>33</v>
      </c>
      <c r="B537" s="55" t="s">
        <v>220</v>
      </c>
      <c r="C537" s="243" t="s">
        <v>218</v>
      </c>
      <c r="D537" s="244"/>
      <c r="E537" s="151"/>
      <c r="F537" s="134"/>
      <c r="G537" s="245"/>
      <c r="H537" s="259"/>
      <c r="J537" s="74"/>
      <c r="K537" s="74"/>
    </row>
    <row r="538" spans="1:11" ht="78" customHeight="1">
      <c r="A538" s="61"/>
      <c r="B538" s="30" t="s">
        <v>528</v>
      </c>
      <c r="C538" s="29" t="s">
        <v>221</v>
      </c>
      <c r="D538" s="49" t="s">
        <v>20</v>
      </c>
      <c r="E538" s="84">
        <f>4*9.9</f>
        <v>39.6</v>
      </c>
      <c r="F538" s="125">
        <f>3230000-150000-(4%*3230000)</f>
        <v>2950800</v>
      </c>
      <c r="G538" s="125">
        <f>F538*E538</f>
        <v>116851680</v>
      </c>
      <c r="H538" s="105" t="s">
        <v>765</v>
      </c>
      <c r="J538" s="74"/>
      <c r="K538" s="74"/>
    </row>
    <row r="539" spans="1:11" ht="18.75">
      <c r="A539" s="61"/>
      <c r="B539" s="62" t="s">
        <v>223</v>
      </c>
      <c r="C539" s="30" t="s">
        <v>222</v>
      </c>
      <c r="D539" s="37" t="s">
        <v>20</v>
      </c>
      <c r="E539" s="60">
        <f>6.85*4</f>
        <v>27.4</v>
      </c>
      <c r="F539" s="130">
        <v>85000</v>
      </c>
      <c r="G539" s="125">
        <f>F539*E539</f>
        <v>2329000</v>
      </c>
      <c r="H539" s="106" t="s">
        <v>187</v>
      </c>
      <c r="I539" s="118"/>
      <c r="J539" s="74"/>
      <c r="K539" s="74"/>
    </row>
    <row r="540" spans="1:11" ht="31.5">
      <c r="A540" s="61"/>
      <c r="B540" s="62"/>
      <c r="C540" s="29" t="s">
        <v>40</v>
      </c>
      <c r="D540" s="37" t="s">
        <v>20</v>
      </c>
      <c r="E540" s="50">
        <f>0.8*4</f>
        <v>3.2</v>
      </c>
      <c r="F540" s="130">
        <v>498000</v>
      </c>
      <c r="G540" s="125">
        <f>F540*E540</f>
        <v>1593600</v>
      </c>
      <c r="H540" s="106"/>
      <c r="J540" s="74"/>
      <c r="K540" s="74"/>
    </row>
    <row r="541" spans="1:11" ht="54" customHeight="1">
      <c r="A541" s="265"/>
      <c r="B541" s="207"/>
      <c r="C541" s="29" t="s">
        <v>1155</v>
      </c>
      <c r="D541" s="37" t="s">
        <v>20</v>
      </c>
      <c r="E541" s="50">
        <f>4.1*4</f>
        <v>16.4</v>
      </c>
      <c r="F541" s="130">
        <f>498000*40%</f>
        <v>199200</v>
      </c>
      <c r="G541" s="125">
        <f>F541*E541</f>
        <v>3266879.9999999995</v>
      </c>
      <c r="H541" s="106" t="s">
        <v>1178</v>
      </c>
      <c r="J541" s="74"/>
      <c r="K541" s="74"/>
    </row>
    <row r="542" spans="1:11" ht="15.75">
      <c r="A542" s="61"/>
      <c r="B542" s="30"/>
      <c r="C542" s="29" t="s">
        <v>882</v>
      </c>
      <c r="D542" s="64" t="s">
        <v>210</v>
      </c>
      <c r="E542" s="60">
        <v>10</v>
      </c>
      <c r="F542" s="125">
        <v>13640</v>
      </c>
      <c r="G542" s="125">
        <f>F542*E542</f>
        <v>136400</v>
      </c>
      <c r="H542" s="105" t="s">
        <v>903</v>
      </c>
      <c r="J542" s="74"/>
      <c r="K542" s="74"/>
    </row>
    <row r="543" spans="1:11" ht="15.75">
      <c r="A543" s="42"/>
      <c r="B543" s="43" t="s">
        <v>5</v>
      </c>
      <c r="C543" s="44"/>
      <c r="D543" s="45"/>
      <c r="E543" s="46"/>
      <c r="F543" s="133"/>
      <c r="G543" s="156">
        <f>SUM(G537:G542)</f>
        <v>124177560</v>
      </c>
      <c r="H543" s="261"/>
      <c r="J543" s="74"/>
      <c r="K543" s="74"/>
    </row>
    <row r="544" spans="1:11" ht="31.5">
      <c r="A544" s="54">
        <v>34</v>
      </c>
      <c r="B544" s="55" t="s">
        <v>224</v>
      </c>
      <c r="C544" s="56" t="s">
        <v>638</v>
      </c>
      <c r="D544" s="37" t="s">
        <v>20</v>
      </c>
      <c r="E544" s="57">
        <v>95.3</v>
      </c>
      <c r="F544" s="125"/>
      <c r="G544" s="125"/>
      <c r="H544" s="259"/>
      <c r="I544" s="110"/>
      <c r="J544" s="74"/>
      <c r="K544" s="74"/>
    </row>
    <row r="545" spans="1:11" ht="15.75">
      <c r="A545" s="54"/>
      <c r="B545" s="62" t="s">
        <v>17</v>
      </c>
      <c r="C545" s="29" t="s">
        <v>195</v>
      </c>
      <c r="D545" s="37"/>
      <c r="E545" s="84"/>
      <c r="F545" s="125"/>
      <c r="G545" s="125"/>
      <c r="H545" s="105"/>
      <c r="I545" s="110"/>
      <c r="J545" s="74"/>
      <c r="K545" s="74"/>
    </row>
    <row r="546" spans="1:11" ht="104.25" customHeight="1">
      <c r="A546" s="54"/>
      <c r="B546" s="30" t="s">
        <v>523</v>
      </c>
      <c r="C546" s="29" t="s">
        <v>814</v>
      </c>
      <c r="D546" s="37" t="s">
        <v>20</v>
      </c>
      <c r="E546" s="84">
        <v>95.3</v>
      </c>
      <c r="F546" s="125">
        <v>8504500</v>
      </c>
      <c r="G546" s="125">
        <f>F546*E546</f>
        <v>810478850</v>
      </c>
      <c r="H546" s="105"/>
      <c r="I546" s="110"/>
      <c r="J546" s="74"/>
      <c r="K546" s="74"/>
    </row>
    <row r="547" spans="1:11" ht="31.5">
      <c r="A547" s="54"/>
      <c r="B547" s="62"/>
      <c r="C547" s="48" t="s">
        <v>639</v>
      </c>
      <c r="D547" s="37" t="s">
        <v>20</v>
      </c>
      <c r="E547" s="84">
        <v>42.3</v>
      </c>
      <c r="F547" s="125"/>
      <c r="G547" s="125"/>
      <c r="H547" s="105"/>
      <c r="I547" s="110"/>
      <c r="J547" s="74"/>
      <c r="K547" s="74"/>
    </row>
    <row r="548" spans="1:11" ht="15.75">
      <c r="A548" s="54"/>
      <c r="B548" s="62"/>
      <c r="C548" s="29" t="s">
        <v>195</v>
      </c>
      <c r="D548" s="37"/>
      <c r="E548" s="84"/>
      <c r="F548" s="125"/>
      <c r="G548" s="125"/>
      <c r="H548" s="105"/>
      <c r="I548" s="110"/>
      <c r="J548" s="74"/>
      <c r="K548" s="74"/>
    </row>
    <row r="549" spans="1:11" ht="112.5" customHeight="1">
      <c r="A549" s="54"/>
      <c r="B549" s="62"/>
      <c r="C549" s="29" t="s">
        <v>814</v>
      </c>
      <c r="D549" s="37" t="s">
        <v>20</v>
      </c>
      <c r="E549" s="84">
        <v>18</v>
      </c>
      <c r="F549" s="125">
        <v>8504500</v>
      </c>
      <c r="G549" s="125">
        <f aca="true" t="shared" si="23" ref="G549:G555">F549*E549</f>
        <v>153081000</v>
      </c>
      <c r="H549" s="105"/>
      <c r="I549" s="110"/>
      <c r="J549" s="74"/>
      <c r="K549" s="74"/>
    </row>
    <row r="550" spans="1:11" ht="140.25" customHeight="1">
      <c r="A550" s="54"/>
      <c r="B550" s="69"/>
      <c r="C550" s="29" t="s">
        <v>813</v>
      </c>
      <c r="D550" s="37" t="s">
        <v>20</v>
      </c>
      <c r="E550" s="84">
        <v>24.3</v>
      </c>
      <c r="F550" s="125">
        <v>6704500</v>
      </c>
      <c r="G550" s="125">
        <f t="shared" si="23"/>
        <v>162919350</v>
      </c>
      <c r="H550" s="105"/>
      <c r="I550" s="110"/>
      <c r="J550" s="74"/>
      <c r="K550" s="74"/>
    </row>
    <row r="551" spans="1:11" ht="31.5">
      <c r="A551" s="61"/>
      <c r="B551" s="217"/>
      <c r="C551" s="30" t="s">
        <v>225</v>
      </c>
      <c r="D551" s="37" t="s">
        <v>20</v>
      </c>
      <c r="E551" s="60">
        <f>9.5*4.56</f>
        <v>43.31999999999999</v>
      </c>
      <c r="F551" s="130">
        <v>3230000</v>
      </c>
      <c r="G551" s="125">
        <f t="shared" si="23"/>
        <v>139923599.99999997</v>
      </c>
      <c r="H551" s="106"/>
      <c r="J551" s="74"/>
      <c r="K551" s="74"/>
    </row>
    <row r="552" spans="1:11" ht="65.25" customHeight="1">
      <c r="A552" s="61"/>
      <c r="B552" s="217"/>
      <c r="C552" s="48" t="s">
        <v>1156</v>
      </c>
      <c r="D552" s="37" t="s">
        <v>20</v>
      </c>
      <c r="E552" s="50">
        <f>2.84*4</f>
        <v>11.36</v>
      </c>
      <c r="F552" s="125">
        <f>2450000+160000</f>
        <v>2610000</v>
      </c>
      <c r="G552" s="125">
        <f t="shared" si="23"/>
        <v>29649600</v>
      </c>
      <c r="H552" s="105" t="s">
        <v>751</v>
      </c>
      <c r="J552" s="74"/>
      <c r="K552" s="74"/>
    </row>
    <row r="553" spans="1:11" ht="34.5">
      <c r="A553" s="61"/>
      <c r="B553" s="217"/>
      <c r="C553" s="29" t="s">
        <v>207</v>
      </c>
      <c r="D553" s="214" t="s">
        <v>208</v>
      </c>
      <c r="E553" s="50">
        <f>(2.84+2.04+4+4)*1.5</f>
        <v>19.32</v>
      </c>
      <c r="F553" s="125">
        <v>240000</v>
      </c>
      <c r="G553" s="125">
        <f t="shared" si="23"/>
        <v>4636800</v>
      </c>
      <c r="H553" s="105"/>
      <c r="J553" s="74"/>
      <c r="K553" s="74"/>
    </row>
    <row r="554" spans="1:11" ht="18.75">
      <c r="A554" s="61"/>
      <c r="B554" s="47"/>
      <c r="C554" s="29" t="s">
        <v>166</v>
      </c>
      <c r="D554" s="37" t="s">
        <v>20</v>
      </c>
      <c r="E554" s="50">
        <f>5.2*3.36</f>
        <v>17.472</v>
      </c>
      <c r="F554" s="125">
        <v>230000</v>
      </c>
      <c r="G554" s="125">
        <f t="shared" si="23"/>
        <v>4018560.0000000005</v>
      </c>
      <c r="H554" s="106"/>
      <c r="J554" s="74"/>
      <c r="K554" s="74"/>
    </row>
    <row r="555" spans="1:11" ht="31.5">
      <c r="A555" s="61"/>
      <c r="B555" s="30"/>
      <c r="C555" s="29" t="s">
        <v>47</v>
      </c>
      <c r="D555" s="37" t="s">
        <v>20</v>
      </c>
      <c r="E555" s="60">
        <f>1.2*4.56</f>
        <v>5.4719999999999995</v>
      </c>
      <c r="F555" s="130">
        <v>498000</v>
      </c>
      <c r="G555" s="125">
        <f t="shared" si="23"/>
        <v>2725055.9999999995</v>
      </c>
      <c r="H555" s="106"/>
      <c r="J555" s="74"/>
      <c r="K555" s="74"/>
    </row>
    <row r="556" spans="1:11" ht="20.25" customHeight="1">
      <c r="A556" s="42"/>
      <c r="B556" s="43" t="s">
        <v>5</v>
      </c>
      <c r="C556" s="44"/>
      <c r="D556" s="45"/>
      <c r="E556" s="46"/>
      <c r="F556" s="133"/>
      <c r="G556" s="156">
        <f>SUM(G544:G555)</f>
        <v>1307432816</v>
      </c>
      <c r="H556" s="261"/>
      <c r="J556" s="74"/>
      <c r="K556" s="74"/>
    </row>
    <row r="557" spans="1:11" ht="45" customHeight="1">
      <c r="A557" s="54">
        <v>35</v>
      </c>
      <c r="B557" s="55" t="s">
        <v>226</v>
      </c>
      <c r="C557" s="56" t="s">
        <v>640</v>
      </c>
      <c r="D557" s="37" t="s">
        <v>20</v>
      </c>
      <c r="E557" s="57">
        <v>63.1</v>
      </c>
      <c r="F557" s="125"/>
      <c r="G557" s="125"/>
      <c r="H557" s="105"/>
      <c r="J557" s="74"/>
      <c r="K557" s="74"/>
    </row>
    <row r="558" spans="1:11" ht="63.75" customHeight="1">
      <c r="A558" s="54"/>
      <c r="B558" s="30" t="s">
        <v>525</v>
      </c>
      <c r="C558" s="29" t="s">
        <v>195</v>
      </c>
      <c r="D558" s="37"/>
      <c r="E558" s="84"/>
      <c r="F558" s="125"/>
      <c r="G558" s="125"/>
      <c r="H558" s="105"/>
      <c r="J558" s="74"/>
      <c r="K558" s="74"/>
    </row>
    <row r="559" spans="1:11" ht="108.75" customHeight="1">
      <c r="A559" s="54"/>
      <c r="B559" s="30"/>
      <c r="C559" s="29" t="s">
        <v>814</v>
      </c>
      <c r="D559" s="37" t="s">
        <v>20</v>
      </c>
      <c r="E559" s="84">
        <v>20</v>
      </c>
      <c r="F559" s="125">
        <v>8504500</v>
      </c>
      <c r="G559" s="125">
        <f>F559*E559</f>
        <v>170090000</v>
      </c>
      <c r="H559" s="105"/>
      <c r="J559" s="74"/>
      <c r="K559" s="74"/>
    </row>
    <row r="560" spans="1:11" ht="143.25" customHeight="1">
      <c r="A560" s="54"/>
      <c r="B560" s="62"/>
      <c r="C560" s="29" t="s">
        <v>813</v>
      </c>
      <c r="D560" s="37" t="s">
        <v>20</v>
      </c>
      <c r="E560" s="84">
        <v>43.1</v>
      </c>
      <c r="F560" s="125">
        <v>6704500</v>
      </c>
      <c r="G560" s="125">
        <f>F560*E560</f>
        <v>288963950</v>
      </c>
      <c r="H560" s="105"/>
      <c r="J560" s="74"/>
      <c r="K560" s="74"/>
    </row>
    <row r="561" spans="1:11" ht="18.75">
      <c r="A561" s="61"/>
      <c r="B561" s="217"/>
      <c r="C561" s="30" t="s">
        <v>227</v>
      </c>
      <c r="D561" s="37" t="s">
        <v>20</v>
      </c>
      <c r="E561" s="60">
        <f>6.1*1.8</f>
        <v>10.98</v>
      </c>
      <c r="F561" s="130">
        <v>110000</v>
      </c>
      <c r="G561" s="125">
        <f>F561*E561</f>
        <v>1207800</v>
      </c>
      <c r="H561" s="106"/>
      <c r="J561" s="74"/>
      <c r="K561" s="74"/>
    </row>
    <row r="562" spans="1:11" ht="15.75">
      <c r="A562" s="61"/>
      <c r="B562" s="217"/>
      <c r="C562" s="48" t="s">
        <v>847</v>
      </c>
      <c r="D562" s="49" t="s">
        <v>37</v>
      </c>
      <c r="E562" s="50">
        <v>8</v>
      </c>
      <c r="F562" s="125">
        <v>20000</v>
      </c>
      <c r="G562" s="125">
        <f aca="true" t="shared" si="24" ref="G562:G568">F562*E562</f>
        <v>160000</v>
      </c>
      <c r="H562" s="106" t="s">
        <v>187</v>
      </c>
      <c r="J562" s="74"/>
      <c r="K562" s="74"/>
    </row>
    <row r="563" spans="1:11" ht="15.75">
      <c r="A563" s="61"/>
      <c r="B563" s="47"/>
      <c r="C563" s="48" t="s">
        <v>848</v>
      </c>
      <c r="D563" s="49" t="s">
        <v>37</v>
      </c>
      <c r="E563" s="50">
        <v>2</v>
      </c>
      <c r="F563" s="125">
        <v>40000</v>
      </c>
      <c r="G563" s="125">
        <f t="shared" si="24"/>
        <v>80000</v>
      </c>
      <c r="H563" s="106" t="s">
        <v>187</v>
      </c>
      <c r="J563" s="74"/>
      <c r="K563" s="74"/>
    </row>
    <row r="564" spans="1:11" ht="18.75">
      <c r="A564" s="61"/>
      <c r="B564" s="30"/>
      <c r="C564" s="48" t="s">
        <v>177</v>
      </c>
      <c r="D564" s="37" t="s">
        <v>20</v>
      </c>
      <c r="E564" s="60">
        <v>0.5</v>
      </c>
      <c r="F564" s="125">
        <v>6000</v>
      </c>
      <c r="G564" s="125">
        <f t="shared" si="24"/>
        <v>3000</v>
      </c>
      <c r="H564" s="106"/>
      <c r="J564" s="74"/>
      <c r="K564" s="74"/>
    </row>
    <row r="565" spans="1:11" ht="15.75">
      <c r="A565" s="54"/>
      <c r="B565" s="55"/>
      <c r="C565" s="246" t="s">
        <v>228</v>
      </c>
      <c r="D565" s="49"/>
      <c r="E565" s="84"/>
      <c r="F565" s="125"/>
      <c r="G565" s="125">
        <f t="shared" si="24"/>
        <v>0</v>
      </c>
      <c r="H565" s="105"/>
      <c r="J565" s="74"/>
      <c r="K565" s="74"/>
    </row>
    <row r="566" spans="1:11" ht="34.5" customHeight="1">
      <c r="A566" s="61"/>
      <c r="B566" s="62"/>
      <c r="C566" s="30" t="s">
        <v>229</v>
      </c>
      <c r="D566" s="37" t="s">
        <v>20</v>
      </c>
      <c r="E566" s="60">
        <f>2.75*5.2</f>
        <v>14.3</v>
      </c>
      <c r="F566" s="130">
        <v>821000</v>
      </c>
      <c r="G566" s="125">
        <f t="shared" si="24"/>
        <v>11740300</v>
      </c>
      <c r="H566" s="106"/>
      <c r="J566" s="74"/>
      <c r="K566" s="74"/>
    </row>
    <row r="567" spans="1:11" ht="18.75">
      <c r="A567" s="61"/>
      <c r="B567" s="30"/>
      <c r="C567" s="48" t="s">
        <v>166</v>
      </c>
      <c r="D567" s="37" t="s">
        <v>20</v>
      </c>
      <c r="E567" s="50">
        <f>2.75*5.2</f>
        <v>14.3</v>
      </c>
      <c r="F567" s="125">
        <v>230000</v>
      </c>
      <c r="G567" s="125">
        <f t="shared" si="24"/>
        <v>3289000</v>
      </c>
      <c r="H567" s="106"/>
      <c r="J567" s="74"/>
      <c r="K567" s="74"/>
    </row>
    <row r="568" spans="1:11" ht="31.5">
      <c r="A568" s="61"/>
      <c r="B568" s="62"/>
      <c r="C568" s="29" t="s">
        <v>230</v>
      </c>
      <c r="D568" s="37" t="s">
        <v>20</v>
      </c>
      <c r="E568" s="50">
        <f>1.3*2.75</f>
        <v>3.575</v>
      </c>
      <c r="F568" s="125">
        <v>150000</v>
      </c>
      <c r="G568" s="125">
        <f t="shared" si="24"/>
        <v>536250</v>
      </c>
      <c r="H568" s="106"/>
      <c r="J568" s="74"/>
      <c r="K568" s="74"/>
    </row>
    <row r="569" spans="1:11" ht="15.75">
      <c r="A569" s="42"/>
      <c r="B569" s="43" t="s">
        <v>5</v>
      </c>
      <c r="C569" s="44"/>
      <c r="D569" s="45"/>
      <c r="E569" s="46"/>
      <c r="F569" s="133"/>
      <c r="G569" s="156">
        <f>SUM(G557:G568)</f>
        <v>476070300</v>
      </c>
      <c r="H569" s="261"/>
      <c r="J569" s="74"/>
      <c r="K569" s="74"/>
    </row>
    <row r="570" spans="1:11" ht="38.25" customHeight="1">
      <c r="A570" s="54">
        <v>36</v>
      </c>
      <c r="B570" s="55" t="s">
        <v>65</v>
      </c>
      <c r="C570" s="29" t="s">
        <v>614</v>
      </c>
      <c r="D570" s="49" t="s">
        <v>20</v>
      </c>
      <c r="E570" s="84">
        <v>52.5</v>
      </c>
      <c r="F570" s="125"/>
      <c r="G570" s="125"/>
      <c r="H570" s="259" t="s">
        <v>916</v>
      </c>
      <c r="I570" s="110"/>
      <c r="J570" s="74"/>
      <c r="K570" s="74"/>
    </row>
    <row r="571" spans="1:11" ht="42.75" customHeight="1">
      <c r="A571" s="54"/>
      <c r="B571" s="30" t="s">
        <v>525</v>
      </c>
      <c r="C571" s="30" t="s">
        <v>195</v>
      </c>
      <c r="D571" s="49"/>
      <c r="E571" s="84"/>
      <c r="F571" s="125"/>
      <c r="G571" s="125"/>
      <c r="H571" s="105"/>
      <c r="J571" s="74"/>
      <c r="K571" s="74"/>
    </row>
    <row r="572" spans="1:11" ht="96.75" customHeight="1">
      <c r="A572" s="54"/>
      <c r="B572" s="62" t="s">
        <v>797</v>
      </c>
      <c r="C572" s="29" t="s">
        <v>814</v>
      </c>
      <c r="D572" s="49" t="s">
        <v>20</v>
      </c>
      <c r="E572" s="84">
        <v>18</v>
      </c>
      <c r="F572" s="125">
        <v>8504500</v>
      </c>
      <c r="G572" s="125">
        <f>F572*E572</f>
        <v>153081000</v>
      </c>
      <c r="H572" s="105"/>
      <c r="J572" s="74"/>
      <c r="K572" s="74"/>
    </row>
    <row r="573" spans="1:11" ht="132.75" customHeight="1">
      <c r="A573" s="54"/>
      <c r="B573" s="62"/>
      <c r="C573" s="29" t="s">
        <v>917</v>
      </c>
      <c r="D573" s="49" t="s">
        <v>20</v>
      </c>
      <c r="E573" s="84">
        <v>34.5</v>
      </c>
      <c r="F573" s="125">
        <v>6704500</v>
      </c>
      <c r="G573" s="125">
        <f>F573*E573</f>
        <v>231305250</v>
      </c>
      <c r="H573" s="105"/>
      <c r="J573" s="74"/>
      <c r="K573" s="74"/>
    </row>
    <row r="574" spans="1:11" ht="47.25">
      <c r="A574" s="61"/>
      <c r="B574" s="62"/>
      <c r="C574" s="30" t="s">
        <v>231</v>
      </c>
      <c r="D574" s="37" t="s">
        <v>20</v>
      </c>
      <c r="E574" s="60">
        <f>10.4*4.9</f>
        <v>50.96000000000001</v>
      </c>
      <c r="F574" s="130">
        <v>821000</v>
      </c>
      <c r="G574" s="125">
        <f>F574*E574</f>
        <v>41838160.00000001</v>
      </c>
      <c r="H574" s="106"/>
      <c r="J574" s="74"/>
      <c r="K574" s="74"/>
    </row>
    <row r="575" spans="1:11" ht="31.5">
      <c r="A575" s="61"/>
      <c r="B575" s="30"/>
      <c r="C575" s="48" t="s">
        <v>230</v>
      </c>
      <c r="D575" s="37" t="s">
        <v>20</v>
      </c>
      <c r="E575" s="50">
        <f>4.9*0.9</f>
        <v>4.41</v>
      </c>
      <c r="F575" s="125">
        <v>150000</v>
      </c>
      <c r="G575" s="125">
        <f>F575*E575</f>
        <v>661500</v>
      </c>
      <c r="H575" s="106"/>
      <c r="J575" s="74"/>
      <c r="K575" s="74"/>
    </row>
    <row r="576" spans="1:11" ht="15.75">
      <c r="A576" s="42"/>
      <c r="B576" s="43" t="s">
        <v>5</v>
      </c>
      <c r="C576" s="44"/>
      <c r="D576" s="45"/>
      <c r="E576" s="46"/>
      <c r="F576" s="133"/>
      <c r="G576" s="156">
        <f>SUM(G570:G575)</f>
        <v>426885910</v>
      </c>
      <c r="H576" s="261"/>
      <c r="J576" s="74"/>
      <c r="K576" s="74"/>
    </row>
    <row r="577" spans="1:11" ht="31.5">
      <c r="A577" s="54">
        <v>37</v>
      </c>
      <c r="B577" s="55" t="s">
        <v>232</v>
      </c>
      <c r="C577" s="56" t="s">
        <v>641</v>
      </c>
      <c r="D577" s="37" t="s">
        <v>20</v>
      </c>
      <c r="E577" s="57">
        <v>100.9</v>
      </c>
      <c r="F577" s="125"/>
      <c r="G577" s="125"/>
      <c r="H577" s="285" t="s">
        <v>233</v>
      </c>
      <c r="J577" s="74"/>
      <c r="K577" s="74"/>
    </row>
    <row r="578" spans="1:11" ht="60.75" customHeight="1">
      <c r="A578" s="54"/>
      <c r="B578" s="30" t="s">
        <v>529</v>
      </c>
      <c r="C578" s="29" t="s">
        <v>195</v>
      </c>
      <c r="D578" s="37"/>
      <c r="E578" s="84"/>
      <c r="F578" s="125"/>
      <c r="G578" s="125"/>
      <c r="H578" s="105"/>
      <c r="J578" s="74"/>
      <c r="K578" s="74"/>
    </row>
    <row r="579" spans="1:11" ht="107.25" customHeight="1">
      <c r="A579" s="54"/>
      <c r="B579" s="62" t="s">
        <v>236</v>
      </c>
      <c r="C579" s="29" t="s">
        <v>814</v>
      </c>
      <c r="D579" s="37" t="s">
        <v>20</v>
      </c>
      <c r="E579" s="84">
        <v>29</v>
      </c>
      <c r="F579" s="125">
        <v>8504500</v>
      </c>
      <c r="G579" s="125">
        <f>F579*E579</f>
        <v>246630500</v>
      </c>
      <c r="H579" s="105"/>
      <c r="I579" s="116"/>
      <c r="J579" s="74"/>
      <c r="K579" s="74"/>
    </row>
    <row r="580" spans="1:11" ht="122.25" customHeight="1">
      <c r="A580" s="54"/>
      <c r="B580" s="55"/>
      <c r="C580" s="29" t="s">
        <v>813</v>
      </c>
      <c r="D580" s="37" t="s">
        <v>20</v>
      </c>
      <c r="E580" s="84">
        <v>71.9</v>
      </c>
      <c r="F580" s="125">
        <v>6704500</v>
      </c>
      <c r="G580" s="125">
        <f>F580*E580</f>
        <v>482053550.00000006</v>
      </c>
      <c r="H580" s="105"/>
      <c r="J580" s="74"/>
      <c r="K580" s="74"/>
    </row>
    <row r="581" spans="1:11" ht="46.5" customHeight="1">
      <c r="A581" s="61"/>
      <c r="B581" s="62"/>
      <c r="C581" s="30" t="s">
        <v>234</v>
      </c>
      <c r="D581" s="37" t="s">
        <v>20</v>
      </c>
      <c r="E581" s="60">
        <f>(5.02*9.83)-3.61</f>
        <v>45.736599999999996</v>
      </c>
      <c r="F581" s="130">
        <v>821000</v>
      </c>
      <c r="G581" s="125">
        <f>F581*E581</f>
        <v>37549748.599999994</v>
      </c>
      <c r="H581" s="106"/>
      <c r="J581" s="74"/>
      <c r="K581" s="74"/>
    </row>
    <row r="582" spans="1:11" ht="65.25" customHeight="1">
      <c r="A582" s="61"/>
      <c r="B582" s="30"/>
      <c r="C582" s="48" t="s">
        <v>235</v>
      </c>
      <c r="D582" s="37" t="s">
        <v>20</v>
      </c>
      <c r="E582" s="50">
        <f>(2.1*1.72)</f>
        <v>3.612</v>
      </c>
      <c r="F582" s="125">
        <f>2450000+160000</f>
        <v>2610000</v>
      </c>
      <c r="G582" s="125">
        <f aca="true" t="shared" si="25" ref="G582:G595">F582*E582</f>
        <v>9427320</v>
      </c>
      <c r="H582" s="105" t="s">
        <v>751</v>
      </c>
      <c r="J582" s="74"/>
      <c r="K582" s="74"/>
    </row>
    <row r="583" spans="1:11" ht="36" customHeight="1">
      <c r="A583" s="61"/>
      <c r="B583" s="62"/>
      <c r="C583" s="29" t="s">
        <v>207</v>
      </c>
      <c r="D583" s="214" t="s">
        <v>208</v>
      </c>
      <c r="E583" s="50">
        <f>(2.1+2.1+1.72+0.92)*1.5</f>
        <v>10.26</v>
      </c>
      <c r="F583" s="125">
        <v>240000</v>
      </c>
      <c r="G583" s="125">
        <f>F583*E583</f>
        <v>2462400</v>
      </c>
      <c r="H583" s="105"/>
      <c r="J583" s="74"/>
      <c r="K583" s="74"/>
    </row>
    <row r="584" spans="1:11" ht="47.25" customHeight="1">
      <c r="A584" s="61"/>
      <c r="B584" s="62"/>
      <c r="C584" s="29" t="s">
        <v>237</v>
      </c>
      <c r="D584" s="37" t="s">
        <v>20</v>
      </c>
      <c r="E584" s="50">
        <f>(4.92*8.98)-11.25</f>
        <v>32.9316</v>
      </c>
      <c r="F584" s="130">
        <v>821000</v>
      </c>
      <c r="G584" s="125">
        <f t="shared" si="25"/>
        <v>27036843.6</v>
      </c>
      <c r="H584" s="106"/>
      <c r="J584" s="74"/>
      <c r="K584" s="74"/>
    </row>
    <row r="585" spans="1:11" ht="72" customHeight="1">
      <c r="A585" s="61"/>
      <c r="B585" s="62"/>
      <c r="C585" s="29" t="s">
        <v>238</v>
      </c>
      <c r="D585" s="37" t="s">
        <v>20</v>
      </c>
      <c r="E585" s="50">
        <f>4.06*2.77</f>
        <v>11.246199999999998</v>
      </c>
      <c r="F585" s="130">
        <f>3230000-(8%*3230000)-(5%*3230000)</f>
        <v>2810100</v>
      </c>
      <c r="G585" s="125">
        <f t="shared" si="25"/>
        <v>31602946.619999994</v>
      </c>
      <c r="H585" s="213" t="s">
        <v>307</v>
      </c>
      <c r="J585" s="74"/>
      <c r="K585" s="74"/>
    </row>
    <row r="586" spans="1:11" ht="31.5">
      <c r="A586" s="61"/>
      <c r="B586" s="62"/>
      <c r="C586" s="29" t="s">
        <v>500</v>
      </c>
      <c r="D586" s="37" t="s">
        <v>20</v>
      </c>
      <c r="E586" s="50">
        <f>1.46*2.63</f>
        <v>3.8398</v>
      </c>
      <c r="F586" s="125">
        <v>150000</v>
      </c>
      <c r="G586" s="125">
        <f t="shared" si="25"/>
        <v>575970</v>
      </c>
      <c r="H586" s="106"/>
      <c r="J586" s="74"/>
      <c r="K586" s="74"/>
    </row>
    <row r="587" spans="1:11" ht="47.25" customHeight="1">
      <c r="A587" s="61"/>
      <c r="B587" s="62"/>
      <c r="C587" s="29" t="s">
        <v>239</v>
      </c>
      <c r="D587" s="37" t="s">
        <v>20</v>
      </c>
      <c r="E587" s="50">
        <f>1.46*2.29</f>
        <v>3.3434</v>
      </c>
      <c r="F587" s="125">
        <v>2450000</v>
      </c>
      <c r="G587" s="125">
        <f t="shared" si="25"/>
        <v>8191330</v>
      </c>
      <c r="H587" s="106"/>
      <c r="J587" s="74"/>
      <c r="K587" s="74"/>
    </row>
    <row r="588" spans="1:11" ht="18.75">
      <c r="A588" s="61"/>
      <c r="B588" s="62"/>
      <c r="C588" s="29" t="s">
        <v>140</v>
      </c>
      <c r="D588" s="37" t="s">
        <v>32</v>
      </c>
      <c r="E588" s="50">
        <f>1.2*1.13*0.4</f>
        <v>0.5424</v>
      </c>
      <c r="F588" s="130">
        <v>1670000</v>
      </c>
      <c r="G588" s="125">
        <f t="shared" si="25"/>
        <v>905808</v>
      </c>
      <c r="H588" s="106"/>
      <c r="J588" s="74"/>
      <c r="K588" s="74"/>
    </row>
    <row r="589" spans="1:11" ht="31.5">
      <c r="A589" s="61"/>
      <c r="B589" s="62"/>
      <c r="C589" s="29" t="s">
        <v>53</v>
      </c>
      <c r="D589" s="37" t="s">
        <v>20</v>
      </c>
      <c r="E589" s="50">
        <f>4.2*5.02</f>
        <v>21.084</v>
      </c>
      <c r="F589" s="125">
        <v>150000</v>
      </c>
      <c r="G589" s="125">
        <f t="shared" si="25"/>
        <v>3162600</v>
      </c>
      <c r="H589" s="106"/>
      <c r="J589" s="74"/>
      <c r="K589" s="74"/>
    </row>
    <row r="590" spans="1:11" ht="31.5">
      <c r="A590" s="61"/>
      <c r="B590" s="62"/>
      <c r="C590" s="29" t="s">
        <v>240</v>
      </c>
      <c r="D590" s="37" t="s">
        <v>20</v>
      </c>
      <c r="E590" s="50">
        <f>1.5*0.8</f>
        <v>1.2000000000000002</v>
      </c>
      <c r="F590" s="125">
        <v>410000</v>
      </c>
      <c r="G590" s="125">
        <f t="shared" si="25"/>
        <v>492000.00000000006</v>
      </c>
      <c r="H590" s="106"/>
      <c r="J590" s="74"/>
      <c r="K590" s="74"/>
    </row>
    <row r="591" spans="1:11" ht="15.75">
      <c r="A591" s="61"/>
      <c r="B591" s="62"/>
      <c r="C591" s="29" t="s">
        <v>873</v>
      </c>
      <c r="D591" s="64" t="s">
        <v>210</v>
      </c>
      <c r="E591" s="50">
        <v>30</v>
      </c>
      <c r="F591" s="125">
        <v>9680</v>
      </c>
      <c r="G591" s="125">
        <f t="shared" si="25"/>
        <v>290400</v>
      </c>
      <c r="H591" s="105" t="s">
        <v>903</v>
      </c>
      <c r="J591" s="74"/>
      <c r="K591" s="74"/>
    </row>
    <row r="592" spans="1:11" ht="15.75">
      <c r="A592" s="61"/>
      <c r="B592" s="62"/>
      <c r="C592" s="29" t="s">
        <v>836</v>
      </c>
      <c r="D592" s="64" t="s">
        <v>210</v>
      </c>
      <c r="E592" s="50">
        <v>30</v>
      </c>
      <c r="F592" s="125">
        <v>13640</v>
      </c>
      <c r="G592" s="125">
        <f t="shared" si="25"/>
        <v>409200</v>
      </c>
      <c r="H592" s="105" t="s">
        <v>903</v>
      </c>
      <c r="J592" s="74"/>
      <c r="K592" s="74"/>
    </row>
    <row r="593" spans="1:11" ht="15.75">
      <c r="A593" s="61"/>
      <c r="B593" s="62"/>
      <c r="C593" s="29" t="s">
        <v>848</v>
      </c>
      <c r="D593" s="49" t="s">
        <v>37</v>
      </c>
      <c r="E593" s="50">
        <v>8</v>
      </c>
      <c r="F593" s="125">
        <v>40000</v>
      </c>
      <c r="G593" s="125">
        <f t="shared" si="25"/>
        <v>320000</v>
      </c>
      <c r="H593" s="106" t="s">
        <v>187</v>
      </c>
      <c r="J593" s="74"/>
      <c r="K593" s="74"/>
    </row>
    <row r="594" spans="1:11" ht="15.75">
      <c r="A594" s="61"/>
      <c r="B594" s="62"/>
      <c r="C594" s="29" t="s">
        <v>847</v>
      </c>
      <c r="D594" s="49" t="s">
        <v>37</v>
      </c>
      <c r="E594" s="50">
        <v>12</v>
      </c>
      <c r="F594" s="125">
        <v>20000</v>
      </c>
      <c r="G594" s="125">
        <f t="shared" si="25"/>
        <v>240000</v>
      </c>
      <c r="H594" s="106" t="s">
        <v>187</v>
      </c>
      <c r="J594" s="74"/>
      <c r="K594" s="74"/>
    </row>
    <row r="595" spans="1:11" ht="15.75">
      <c r="A595" s="61"/>
      <c r="B595" s="62"/>
      <c r="C595" s="29" t="s">
        <v>846</v>
      </c>
      <c r="D595" s="49" t="s">
        <v>210</v>
      </c>
      <c r="E595" s="50">
        <v>80</v>
      </c>
      <c r="F595" s="125"/>
      <c r="G595" s="125">
        <f t="shared" si="25"/>
        <v>0</v>
      </c>
      <c r="H595" s="106"/>
      <c r="J595" s="74"/>
      <c r="K595" s="74"/>
    </row>
    <row r="596" spans="1:11" ht="15.75">
      <c r="A596" s="42"/>
      <c r="B596" s="43" t="s">
        <v>5</v>
      </c>
      <c r="C596" s="44"/>
      <c r="D596" s="45"/>
      <c r="E596" s="46"/>
      <c r="F596" s="133"/>
      <c r="G596" s="156">
        <f>SUM(G577:G595)</f>
        <v>851350616.82</v>
      </c>
      <c r="H596" s="261"/>
      <c r="J596" s="74"/>
      <c r="K596" s="74"/>
    </row>
    <row r="597" spans="1:11" ht="48.75" customHeight="1">
      <c r="A597" s="54">
        <v>38</v>
      </c>
      <c r="B597" s="55" t="s">
        <v>642</v>
      </c>
      <c r="C597" s="56" t="s">
        <v>643</v>
      </c>
      <c r="D597" s="37" t="s">
        <v>20</v>
      </c>
      <c r="E597" s="57">
        <v>348.3</v>
      </c>
      <c r="F597" s="134"/>
      <c r="G597" s="154"/>
      <c r="H597" s="259"/>
      <c r="J597" s="74"/>
      <c r="K597" s="74"/>
    </row>
    <row r="598" spans="1:11" ht="40.5" customHeight="1">
      <c r="A598" s="54"/>
      <c r="B598" s="30" t="s">
        <v>525</v>
      </c>
      <c r="C598" s="29" t="s">
        <v>195</v>
      </c>
      <c r="D598" s="37"/>
      <c r="E598" s="77"/>
      <c r="F598" s="125"/>
      <c r="G598" s="206"/>
      <c r="H598" s="105"/>
      <c r="J598" s="74"/>
      <c r="K598" s="74"/>
    </row>
    <row r="599" spans="1:11" ht="122.25" customHeight="1">
      <c r="A599" s="54"/>
      <c r="B599" s="62" t="s">
        <v>243</v>
      </c>
      <c r="C599" s="48" t="s">
        <v>809</v>
      </c>
      <c r="D599" s="49" t="s">
        <v>20</v>
      </c>
      <c r="E599" s="84">
        <v>348.3</v>
      </c>
      <c r="F599" s="125">
        <v>6704500</v>
      </c>
      <c r="G599" s="125">
        <f>F599*E599</f>
        <v>2335177350</v>
      </c>
      <c r="H599" s="105"/>
      <c r="J599" s="74"/>
      <c r="K599" s="74"/>
    </row>
    <row r="600" spans="1:11" ht="52.5" customHeight="1">
      <c r="A600" s="54"/>
      <c r="B600" s="55"/>
      <c r="C600" s="29" t="s">
        <v>644</v>
      </c>
      <c r="D600" s="37" t="s">
        <v>20</v>
      </c>
      <c r="E600" s="84">
        <v>24.3</v>
      </c>
      <c r="F600" s="125"/>
      <c r="G600" s="206"/>
      <c r="H600" s="105"/>
      <c r="J600" s="74"/>
      <c r="K600" s="74"/>
    </row>
    <row r="601" spans="1:11" ht="18.75" customHeight="1">
      <c r="A601" s="54"/>
      <c r="B601" s="55"/>
      <c r="C601" s="29" t="s">
        <v>195</v>
      </c>
      <c r="D601" s="37"/>
      <c r="E601" s="84"/>
      <c r="F601" s="125"/>
      <c r="G601" s="206"/>
      <c r="H601" s="105"/>
      <c r="J601" s="74"/>
      <c r="K601" s="74"/>
    </row>
    <row r="602" spans="1:11" ht="114" customHeight="1">
      <c r="A602" s="54"/>
      <c r="B602" s="55"/>
      <c r="C602" s="29" t="s">
        <v>894</v>
      </c>
      <c r="D602" s="37" t="s">
        <v>20</v>
      </c>
      <c r="E602" s="84">
        <v>15</v>
      </c>
      <c r="F602" s="125">
        <v>8504500</v>
      </c>
      <c r="G602" s="125">
        <f>F602*E602</f>
        <v>127567500</v>
      </c>
      <c r="H602" s="105"/>
      <c r="J602" s="74"/>
      <c r="K602" s="74"/>
    </row>
    <row r="603" spans="1:11" ht="124.5" customHeight="1">
      <c r="A603" s="54"/>
      <c r="B603" s="55"/>
      <c r="C603" s="48" t="s">
        <v>813</v>
      </c>
      <c r="D603" s="37" t="s">
        <v>20</v>
      </c>
      <c r="E603" s="84">
        <v>9.3</v>
      </c>
      <c r="F603" s="125">
        <v>6704500</v>
      </c>
      <c r="G603" s="125">
        <f>F603*E603</f>
        <v>62351850.00000001</v>
      </c>
      <c r="H603" s="105"/>
      <c r="J603" s="74"/>
      <c r="K603" s="74"/>
    </row>
    <row r="604" spans="1:11" ht="78.75">
      <c r="A604" s="54"/>
      <c r="B604" s="62"/>
      <c r="C604" s="30" t="s">
        <v>241</v>
      </c>
      <c r="D604" s="37" t="s">
        <v>20</v>
      </c>
      <c r="E604" s="60">
        <f>(4.35*6.9)+(8*2.8)</f>
        <v>52.415</v>
      </c>
      <c r="F604" s="125">
        <v>3230000</v>
      </c>
      <c r="G604" s="125">
        <f>F604*E604</f>
        <v>169300450</v>
      </c>
      <c r="H604" s="105"/>
      <c r="J604" s="74"/>
      <c r="K604" s="74"/>
    </row>
    <row r="605" spans="1:11" ht="18.75">
      <c r="A605" s="54"/>
      <c r="B605" s="30"/>
      <c r="C605" s="29" t="s">
        <v>242</v>
      </c>
      <c r="D605" s="37" t="s">
        <v>20</v>
      </c>
      <c r="E605" s="84">
        <f>4.35*6.9</f>
        <v>30.015</v>
      </c>
      <c r="F605" s="125">
        <v>230000</v>
      </c>
      <c r="G605" s="125">
        <f aca="true" t="shared" si="26" ref="G605:G611">F605*E605</f>
        <v>6903450</v>
      </c>
      <c r="H605" s="105"/>
      <c r="J605" s="74"/>
      <c r="K605" s="74"/>
    </row>
    <row r="606" spans="1:11" ht="31.5">
      <c r="A606" s="54"/>
      <c r="B606" s="62"/>
      <c r="C606" s="29" t="s">
        <v>244</v>
      </c>
      <c r="D606" s="37" t="s">
        <v>20</v>
      </c>
      <c r="E606" s="50">
        <f>((6.7+4)/2)*6.5</f>
        <v>34.775</v>
      </c>
      <c r="F606" s="130">
        <v>821000</v>
      </c>
      <c r="G606" s="125">
        <f t="shared" si="26"/>
        <v>28550275</v>
      </c>
      <c r="H606" s="105"/>
      <c r="J606" s="74"/>
      <c r="K606" s="74"/>
    </row>
    <row r="607" spans="1:11" ht="31.5">
      <c r="A607" s="54"/>
      <c r="B607" s="62"/>
      <c r="C607" s="29" t="s">
        <v>245</v>
      </c>
      <c r="D607" s="37" t="s">
        <v>20</v>
      </c>
      <c r="E607" s="50">
        <f>(7.15*1.1)+(0.9*4.35)</f>
        <v>11.780000000000001</v>
      </c>
      <c r="F607" s="130">
        <v>498000</v>
      </c>
      <c r="G607" s="125">
        <f t="shared" si="26"/>
        <v>5866440.000000001</v>
      </c>
      <c r="H607" s="105"/>
      <c r="J607" s="74"/>
      <c r="K607" s="74"/>
    </row>
    <row r="608" spans="1:11" ht="19.5" customHeight="1">
      <c r="A608" s="54"/>
      <c r="B608" s="62"/>
      <c r="C608" s="29" t="s">
        <v>849</v>
      </c>
      <c r="D608" s="37" t="s">
        <v>210</v>
      </c>
      <c r="E608" s="50">
        <v>10</v>
      </c>
      <c r="F608" s="125"/>
      <c r="G608" s="125">
        <f t="shared" si="26"/>
        <v>0</v>
      </c>
      <c r="H608" s="105"/>
      <c r="J608" s="74"/>
      <c r="K608" s="74"/>
    </row>
    <row r="609" spans="1:11" ht="18.75">
      <c r="A609" s="54"/>
      <c r="B609" s="62"/>
      <c r="C609" s="29" t="s">
        <v>169</v>
      </c>
      <c r="D609" s="37" t="s">
        <v>32</v>
      </c>
      <c r="E609" s="50">
        <f>2*2*0.1</f>
        <v>0.4</v>
      </c>
      <c r="F609" s="130">
        <f>1684000</f>
        <v>1684000</v>
      </c>
      <c r="G609" s="125">
        <f t="shared" si="26"/>
        <v>673600</v>
      </c>
      <c r="H609" s="105"/>
      <c r="J609" s="74"/>
      <c r="K609" s="74"/>
    </row>
    <row r="610" spans="1:11" ht="21" customHeight="1">
      <c r="A610" s="54"/>
      <c r="B610" s="62"/>
      <c r="C610" s="29" t="s">
        <v>847</v>
      </c>
      <c r="D610" s="49" t="s">
        <v>117</v>
      </c>
      <c r="E610" s="50">
        <v>13</v>
      </c>
      <c r="F610" s="125">
        <v>20000</v>
      </c>
      <c r="G610" s="125">
        <f t="shared" si="26"/>
        <v>260000</v>
      </c>
      <c r="H610" s="106" t="s">
        <v>187</v>
      </c>
      <c r="J610" s="74"/>
      <c r="K610" s="74"/>
    </row>
    <row r="611" spans="1:11" ht="21" customHeight="1">
      <c r="A611" s="54"/>
      <c r="B611" s="62"/>
      <c r="C611" s="29" t="s">
        <v>848</v>
      </c>
      <c r="D611" s="49" t="s">
        <v>37</v>
      </c>
      <c r="E611" s="50">
        <v>1</v>
      </c>
      <c r="F611" s="125">
        <v>40000</v>
      </c>
      <c r="G611" s="125">
        <f t="shared" si="26"/>
        <v>40000</v>
      </c>
      <c r="H611" s="106" t="s">
        <v>187</v>
      </c>
      <c r="J611" s="74"/>
      <c r="K611" s="74"/>
    </row>
    <row r="612" spans="1:11" ht="36" customHeight="1">
      <c r="A612" s="54"/>
      <c r="B612" s="62"/>
      <c r="C612" s="29" t="s">
        <v>55</v>
      </c>
      <c r="D612" s="37" t="s">
        <v>20</v>
      </c>
      <c r="E612" s="84">
        <f>(33.35+36.11)*2.2</f>
        <v>152.81200000000004</v>
      </c>
      <c r="F612" s="125">
        <v>325000</v>
      </c>
      <c r="G612" s="125">
        <f>F612*E612</f>
        <v>49663900.000000015</v>
      </c>
      <c r="H612" s="105"/>
      <c r="J612" s="74"/>
      <c r="K612" s="74"/>
    </row>
    <row r="613" spans="1:11" ht="31.5">
      <c r="A613" s="61"/>
      <c r="B613" s="217"/>
      <c r="C613" s="30" t="s">
        <v>271</v>
      </c>
      <c r="D613" s="37" t="s">
        <v>20</v>
      </c>
      <c r="E613" s="60">
        <f>10.01*1.8</f>
        <v>18.018</v>
      </c>
      <c r="F613" s="130">
        <v>110000</v>
      </c>
      <c r="G613" s="125">
        <f>F613*E613</f>
        <v>1981980</v>
      </c>
      <c r="H613" s="106"/>
      <c r="J613" s="74"/>
      <c r="K613" s="74"/>
    </row>
    <row r="614" spans="1:11" ht="15.75">
      <c r="A614" s="61"/>
      <c r="B614" s="217"/>
      <c r="C614" s="48" t="s">
        <v>272</v>
      </c>
      <c r="D614" s="49" t="s">
        <v>145</v>
      </c>
      <c r="E614" s="50">
        <v>1</v>
      </c>
      <c r="F614" s="130">
        <v>160000</v>
      </c>
      <c r="G614" s="125">
        <f>F614*E614</f>
        <v>160000</v>
      </c>
      <c r="H614" s="106"/>
      <c r="J614" s="74"/>
      <c r="K614" s="74"/>
    </row>
    <row r="615" spans="1:11" ht="21" customHeight="1">
      <c r="A615" s="42"/>
      <c r="B615" s="43" t="s">
        <v>5</v>
      </c>
      <c r="C615" s="44"/>
      <c r="D615" s="45"/>
      <c r="E615" s="46"/>
      <c r="F615" s="133"/>
      <c r="G615" s="156">
        <f>SUM(G597:G614)</f>
        <v>2788496795</v>
      </c>
      <c r="H615" s="261"/>
      <c r="J615" s="74"/>
      <c r="K615" s="74"/>
    </row>
    <row r="616" spans="1:11" ht="52.5" customHeight="1">
      <c r="A616" s="54">
        <v>39</v>
      </c>
      <c r="B616" s="150" t="s">
        <v>566</v>
      </c>
      <c r="C616" s="56" t="s">
        <v>645</v>
      </c>
      <c r="D616" s="37" t="s">
        <v>20</v>
      </c>
      <c r="E616" s="57">
        <v>608.3</v>
      </c>
      <c r="F616" s="125"/>
      <c r="G616" s="125"/>
      <c r="H616" s="105"/>
      <c r="J616" s="74"/>
      <c r="K616" s="74"/>
    </row>
    <row r="617" spans="1:11" ht="41.25" customHeight="1">
      <c r="A617" s="54"/>
      <c r="B617" s="55" t="s">
        <v>567</v>
      </c>
      <c r="C617" s="29" t="s">
        <v>195</v>
      </c>
      <c r="D617" s="37"/>
      <c r="E617" s="77"/>
      <c r="F617" s="125"/>
      <c r="G617" s="125"/>
      <c r="H617" s="105"/>
      <c r="J617" s="74"/>
      <c r="K617" s="74"/>
    </row>
    <row r="618" spans="1:11" ht="110.25">
      <c r="A618" s="54"/>
      <c r="B618" s="30" t="s">
        <v>568</v>
      </c>
      <c r="C618" s="48" t="s">
        <v>809</v>
      </c>
      <c r="D618" s="49" t="s">
        <v>20</v>
      </c>
      <c r="E618" s="84">
        <v>608.3</v>
      </c>
      <c r="F618" s="125">
        <v>6704500</v>
      </c>
      <c r="G618" s="125">
        <f>F618*E618</f>
        <v>4078347349.9999995</v>
      </c>
      <c r="H618" s="105"/>
      <c r="J618" s="74"/>
      <c r="K618" s="74"/>
    </row>
    <row r="619" spans="1:11" ht="31.5">
      <c r="A619" s="61"/>
      <c r="B619" s="30" t="s">
        <v>569</v>
      </c>
      <c r="C619" s="30" t="s">
        <v>246</v>
      </c>
      <c r="D619" s="37" t="s">
        <v>20</v>
      </c>
      <c r="E619" s="60">
        <f>4.9*6</f>
        <v>29.400000000000002</v>
      </c>
      <c r="F619" s="130">
        <v>821000</v>
      </c>
      <c r="G619" s="125">
        <f>F619*E619</f>
        <v>24137400</v>
      </c>
      <c r="H619" s="106"/>
      <c r="J619" s="74"/>
      <c r="K619" s="74"/>
    </row>
    <row r="620" spans="1:11" ht="15.75">
      <c r="A620" s="61"/>
      <c r="B620" s="47"/>
      <c r="C620" s="48" t="s">
        <v>1050</v>
      </c>
      <c r="D620" s="49" t="s">
        <v>43</v>
      </c>
      <c r="E620" s="50">
        <v>2</v>
      </c>
      <c r="F620" s="125">
        <v>293000</v>
      </c>
      <c r="G620" s="125">
        <f aca="true" t="shared" si="27" ref="G620:G631">F620*E620</f>
        <v>586000</v>
      </c>
      <c r="H620" s="106"/>
      <c r="J620" s="74"/>
      <c r="K620" s="74"/>
    </row>
    <row r="621" spans="1:11" ht="15.75">
      <c r="A621" s="61"/>
      <c r="B621" s="47"/>
      <c r="C621" s="48" t="s">
        <v>1051</v>
      </c>
      <c r="D621" s="49" t="s">
        <v>43</v>
      </c>
      <c r="E621" s="60">
        <v>1</v>
      </c>
      <c r="F621" s="130">
        <v>202000</v>
      </c>
      <c r="G621" s="125">
        <f t="shared" si="27"/>
        <v>202000</v>
      </c>
      <c r="H621" s="106"/>
      <c r="J621" s="74"/>
      <c r="K621" s="74"/>
    </row>
    <row r="622" spans="1:11" ht="15.75">
      <c r="A622" s="61"/>
      <c r="B622" s="30"/>
      <c r="C622" s="48" t="s">
        <v>1052</v>
      </c>
      <c r="D622" s="49" t="s">
        <v>43</v>
      </c>
      <c r="E622" s="60">
        <v>1</v>
      </c>
      <c r="F622" s="130">
        <v>202000</v>
      </c>
      <c r="G622" s="125">
        <f t="shared" si="27"/>
        <v>202000</v>
      </c>
      <c r="H622" s="106"/>
      <c r="J622" s="74"/>
      <c r="K622" s="74"/>
    </row>
    <row r="623" spans="1:11" ht="15.75">
      <c r="A623" s="61"/>
      <c r="B623" s="30"/>
      <c r="C623" s="48" t="s">
        <v>1053</v>
      </c>
      <c r="D623" s="49" t="s">
        <v>43</v>
      </c>
      <c r="E623" s="60">
        <v>3</v>
      </c>
      <c r="F623" s="130">
        <v>200000</v>
      </c>
      <c r="G623" s="125">
        <f t="shared" si="27"/>
        <v>600000</v>
      </c>
      <c r="H623" s="106"/>
      <c r="J623" s="74"/>
      <c r="K623" s="74"/>
    </row>
    <row r="624" spans="1:11" ht="15.75">
      <c r="A624" s="61"/>
      <c r="B624" s="30"/>
      <c r="C624" s="48" t="s">
        <v>1054</v>
      </c>
      <c r="D624" s="49" t="s">
        <v>43</v>
      </c>
      <c r="E624" s="60">
        <v>3</v>
      </c>
      <c r="F624" s="130">
        <v>575000</v>
      </c>
      <c r="G624" s="125">
        <f t="shared" si="27"/>
        <v>1725000</v>
      </c>
      <c r="H624" s="106"/>
      <c r="J624" s="74"/>
      <c r="K624" s="74"/>
    </row>
    <row r="625" spans="1:11" ht="15.75">
      <c r="A625" s="61"/>
      <c r="B625" s="30"/>
      <c r="C625" s="48" t="s">
        <v>1047</v>
      </c>
      <c r="D625" s="49" t="s">
        <v>43</v>
      </c>
      <c r="E625" s="60">
        <v>1</v>
      </c>
      <c r="F625" s="125">
        <v>128000</v>
      </c>
      <c r="G625" s="125">
        <f t="shared" si="27"/>
        <v>128000</v>
      </c>
      <c r="H625" s="106"/>
      <c r="J625" s="74"/>
      <c r="K625" s="74"/>
    </row>
    <row r="626" spans="1:11" ht="15.75">
      <c r="A626" s="61"/>
      <c r="B626" s="30"/>
      <c r="C626" s="48" t="s">
        <v>1041</v>
      </c>
      <c r="D626" s="49" t="s">
        <v>43</v>
      </c>
      <c r="E626" s="60">
        <v>2</v>
      </c>
      <c r="F626" s="130">
        <v>250000</v>
      </c>
      <c r="G626" s="125">
        <f t="shared" si="27"/>
        <v>500000</v>
      </c>
      <c r="H626" s="106"/>
      <c r="J626" s="74"/>
      <c r="K626" s="74"/>
    </row>
    <row r="627" spans="1:11" ht="15.75">
      <c r="A627" s="61"/>
      <c r="B627" s="30"/>
      <c r="C627" s="48" t="s">
        <v>1048</v>
      </c>
      <c r="D627" s="49" t="s">
        <v>43</v>
      </c>
      <c r="E627" s="60">
        <v>3</v>
      </c>
      <c r="F627" s="125">
        <v>40000</v>
      </c>
      <c r="G627" s="125">
        <f t="shared" si="27"/>
        <v>120000</v>
      </c>
      <c r="H627" s="106"/>
      <c r="J627" s="74"/>
      <c r="K627" s="74"/>
    </row>
    <row r="628" spans="1:11" ht="15.75">
      <c r="A628" s="61"/>
      <c r="B628" s="30"/>
      <c r="C628" s="48" t="s">
        <v>1055</v>
      </c>
      <c r="D628" s="49" t="s">
        <v>43</v>
      </c>
      <c r="E628" s="60">
        <v>1</v>
      </c>
      <c r="F628" s="130">
        <v>200000</v>
      </c>
      <c r="G628" s="125">
        <f t="shared" si="27"/>
        <v>200000</v>
      </c>
      <c r="H628" s="106"/>
      <c r="J628" s="74"/>
      <c r="K628" s="74"/>
    </row>
    <row r="629" spans="1:11" ht="15.75">
      <c r="A629" s="61"/>
      <c r="B629" s="30"/>
      <c r="C629" s="48" t="s">
        <v>1056</v>
      </c>
      <c r="D629" s="49" t="s">
        <v>43</v>
      </c>
      <c r="E629" s="60">
        <v>1</v>
      </c>
      <c r="F629" s="130">
        <v>200000</v>
      </c>
      <c r="G629" s="125">
        <f t="shared" si="27"/>
        <v>200000</v>
      </c>
      <c r="H629" s="106"/>
      <c r="J629" s="74"/>
      <c r="K629" s="74"/>
    </row>
    <row r="630" spans="1:11" ht="15.75">
      <c r="A630" s="61"/>
      <c r="B630" s="30"/>
      <c r="C630" s="48" t="s">
        <v>1057</v>
      </c>
      <c r="D630" s="49" t="s">
        <v>43</v>
      </c>
      <c r="E630" s="60">
        <v>1</v>
      </c>
      <c r="F630" s="130">
        <v>200000</v>
      </c>
      <c r="G630" s="125">
        <f t="shared" si="27"/>
        <v>200000</v>
      </c>
      <c r="H630" s="106"/>
      <c r="J630" s="74"/>
      <c r="K630" s="74"/>
    </row>
    <row r="631" spans="1:11" ht="15.75">
      <c r="A631" s="61"/>
      <c r="B631" s="30"/>
      <c r="C631" s="48" t="s">
        <v>830</v>
      </c>
      <c r="D631" s="37" t="s">
        <v>37</v>
      </c>
      <c r="E631" s="60">
        <v>3</v>
      </c>
      <c r="F631" s="130">
        <v>20000</v>
      </c>
      <c r="G631" s="125">
        <f t="shared" si="27"/>
        <v>60000</v>
      </c>
      <c r="H631" s="106" t="s">
        <v>187</v>
      </c>
      <c r="J631" s="74"/>
      <c r="K631" s="74"/>
    </row>
    <row r="632" spans="1:11" ht="15.75">
      <c r="A632" s="42"/>
      <c r="B632" s="43" t="s">
        <v>5</v>
      </c>
      <c r="C632" s="44"/>
      <c r="D632" s="45"/>
      <c r="E632" s="46"/>
      <c r="F632" s="133"/>
      <c r="G632" s="156">
        <f>SUM(G616:G631)</f>
        <v>4107207749.9999995</v>
      </c>
      <c r="H632" s="261"/>
      <c r="J632" s="74"/>
      <c r="K632" s="74"/>
    </row>
    <row r="633" spans="1:11" ht="31.5">
      <c r="A633" s="54">
        <v>40</v>
      </c>
      <c r="B633" s="55" t="s">
        <v>247</v>
      </c>
      <c r="C633" s="56" t="s">
        <v>646</v>
      </c>
      <c r="D633" s="37" t="s">
        <v>20</v>
      </c>
      <c r="E633" s="57">
        <v>339.8</v>
      </c>
      <c r="F633" s="125"/>
      <c r="G633" s="125"/>
      <c r="H633" s="105"/>
      <c r="J633" s="74"/>
      <c r="K633" s="74"/>
    </row>
    <row r="634" spans="1:11" ht="20.25" customHeight="1">
      <c r="A634" s="54"/>
      <c r="B634" s="62" t="s">
        <v>248</v>
      </c>
      <c r="C634" s="29" t="s">
        <v>195</v>
      </c>
      <c r="D634" s="37"/>
      <c r="E634" s="77"/>
      <c r="F634" s="125"/>
      <c r="G634" s="125"/>
      <c r="H634" s="105"/>
      <c r="J634" s="74"/>
      <c r="K634" s="74"/>
    </row>
    <row r="635" spans="1:11" ht="110.25">
      <c r="A635" s="54"/>
      <c r="B635" s="30" t="s">
        <v>530</v>
      </c>
      <c r="C635" s="48" t="s">
        <v>809</v>
      </c>
      <c r="D635" s="49" t="s">
        <v>20</v>
      </c>
      <c r="E635" s="84">
        <v>339.8</v>
      </c>
      <c r="F635" s="125">
        <v>6704500</v>
      </c>
      <c r="G635" s="125">
        <f>F635*E635</f>
        <v>2278189100</v>
      </c>
      <c r="H635" s="105"/>
      <c r="J635" s="74"/>
      <c r="K635" s="74"/>
    </row>
    <row r="636" spans="1:11" ht="36" customHeight="1">
      <c r="A636" s="54"/>
      <c r="B636" s="62" t="s">
        <v>250</v>
      </c>
      <c r="C636" s="29" t="s">
        <v>647</v>
      </c>
      <c r="D636" s="37" t="s">
        <v>20</v>
      </c>
      <c r="E636" s="84">
        <v>319.1</v>
      </c>
      <c r="F636" s="125"/>
      <c r="G636" s="125"/>
      <c r="H636" s="105"/>
      <c r="J636" s="74"/>
      <c r="K636" s="74"/>
    </row>
    <row r="637" spans="1:11" ht="18.75" customHeight="1">
      <c r="A637" s="54"/>
      <c r="B637" s="55"/>
      <c r="C637" s="29" t="s">
        <v>195</v>
      </c>
      <c r="D637" s="37"/>
      <c r="E637" s="84"/>
      <c r="F637" s="125"/>
      <c r="G637" s="125"/>
      <c r="H637" s="105"/>
      <c r="J637" s="74"/>
      <c r="K637" s="74"/>
    </row>
    <row r="638" spans="1:11" ht="110.25">
      <c r="A638" s="54"/>
      <c r="B638" s="55"/>
      <c r="C638" s="48" t="s">
        <v>809</v>
      </c>
      <c r="D638" s="49" t="s">
        <v>20</v>
      </c>
      <c r="E638" s="84">
        <v>319.1</v>
      </c>
      <c r="F638" s="125">
        <v>6704500</v>
      </c>
      <c r="G638" s="125">
        <f>F638*E638</f>
        <v>2139405950.0000002</v>
      </c>
      <c r="H638" s="105"/>
      <c r="J638" s="74"/>
      <c r="K638" s="74"/>
    </row>
    <row r="639" spans="1:11" ht="31.5">
      <c r="A639" s="54"/>
      <c r="B639" s="55"/>
      <c r="C639" s="29" t="s">
        <v>648</v>
      </c>
      <c r="D639" s="37" t="s">
        <v>20</v>
      </c>
      <c r="E639" s="84">
        <v>343</v>
      </c>
      <c r="F639" s="125"/>
      <c r="G639" s="125"/>
      <c r="H639" s="105"/>
      <c r="J639" s="74"/>
      <c r="K639" s="74"/>
    </row>
    <row r="640" spans="1:11" ht="18.75" customHeight="1">
      <c r="A640" s="54"/>
      <c r="B640" s="55"/>
      <c r="C640" s="29" t="s">
        <v>195</v>
      </c>
      <c r="D640" s="37"/>
      <c r="E640" s="84"/>
      <c r="F640" s="125"/>
      <c r="G640" s="125"/>
      <c r="H640" s="105"/>
      <c r="J640" s="74"/>
      <c r="K640" s="74"/>
    </row>
    <row r="641" spans="1:11" ht="122.25" customHeight="1">
      <c r="A641" s="54"/>
      <c r="B641" s="55"/>
      <c r="C641" s="48" t="s">
        <v>955</v>
      </c>
      <c r="D641" s="49" t="s">
        <v>20</v>
      </c>
      <c r="E641" s="84">
        <v>343</v>
      </c>
      <c r="F641" s="125">
        <v>6704500</v>
      </c>
      <c r="G641" s="125">
        <f>F641*E641</f>
        <v>2299643500</v>
      </c>
      <c r="H641" s="105"/>
      <c r="J641" s="74"/>
      <c r="K641" s="74"/>
    </row>
    <row r="642" spans="1:11" ht="63">
      <c r="A642" s="61"/>
      <c r="B642" s="62"/>
      <c r="C642" s="30" t="s">
        <v>249</v>
      </c>
      <c r="D642" s="37" t="s">
        <v>20</v>
      </c>
      <c r="E642" s="60">
        <f>(3*0.7)+(6.1*3.2)+(2.8*3.2)+(((8.6+5.7)/2)*8.9)</f>
        <v>94.215</v>
      </c>
      <c r="F642" s="130">
        <v>3230000</v>
      </c>
      <c r="G642" s="125">
        <f>F642*E642</f>
        <v>304314450</v>
      </c>
      <c r="H642" s="106"/>
      <c r="J642" s="74"/>
      <c r="K642" s="74"/>
    </row>
    <row r="643" spans="1:11" ht="31.5">
      <c r="A643" s="61"/>
      <c r="B643" s="30"/>
      <c r="C643" s="48" t="s">
        <v>315</v>
      </c>
      <c r="D643" s="37" t="s">
        <v>20</v>
      </c>
      <c r="E643" s="50">
        <f>4*3</f>
        <v>12</v>
      </c>
      <c r="F643" s="130">
        <v>821000</v>
      </c>
      <c r="G643" s="125">
        <f aca="true" t="shared" si="28" ref="G643:G663">F643*E643</f>
        <v>9852000</v>
      </c>
      <c r="H643" s="106"/>
      <c r="J643" s="74"/>
      <c r="K643" s="74"/>
    </row>
    <row r="644" spans="1:11" ht="31.5">
      <c r="A644" s="61"/>
      <c r="B644" s="62"/>
      <c r="C644" s="29" t="s">
        <v>579</v>
      </c>
      <c r="D644" s="37" t="s">
        <v>20</v>
      </c>
      <c r="E644" s="50">
        <f>(4.7*2.7)+(3.1*3.3)</f>
        <v>22.92</v>
      </c>
      <c r="F644" s="125">
        <v>150000</v>
      </c>
      <c r="G644" s="125">
        <f t="shared" si="28"/>
        <v>3438000.0000000005</v>
      </c>
      <c r="H644" s="106"/>
      <c r="J644" s="74"/>
      <c r="K644" s="74"/>
    </row>
    <row r="645" spans="1:11" ht="31.5">
      <c r="A645" s="61"/>
      <c r="B645" s="62"/>
      <c r="C645" s="29" t="s">
        <v>251</v>
      </c>
      <c r="D645" s="37" t="s">
        <v>20</v>
      </c>
      <c r="E645" s="50">
        <f>2.8*5.7</f>
        <v>15.959999999999999</v>
      </c>
      <c r="F645" s="130">
        <v>821000</v>
      </c>
      <c r="G645" s="125">
        <f t="shared" si="28"/>
        <v>13103160</v>
      </c>
      <c r="H645" s="106"/>
      <c r="J645" s="74"/>
      <c r="K645" s="74"/>
    </row>
    <row r="646" spans="1:11" ht="31.5">
      <c r="A646" s="61"/>
      <c r="B646" s="62"/>
      <c r="C646" s="29" t="s">
        <v>252</v>
      </c>
      <c r="D646" s="37" t="s">
        <v>20</v>
      </c>
      <c r="E646" s="50">
        <f>(1*3.9)+(2*6.5)</f>
        <v>16.9</v>
      </c>
      <c r="F646" s="130">
        <v>821000</v>
      </c>
      <c r="G646" s="125">
        <f t="shared" si="28"/>
        <v>13874899.999999998</v>
      </c>
      <c r="H646" s="106"/>
      <c r="J646" s="74"/>
      <c r="K646" s="74"/>
    </row>
    <row r="647" spans="1:11" ht="15.75">
      <c r="A647" s="61"/>
      <c r="B647" s="62"/>
      <c r="C647" s="29" t="s">
        <v>882</v>
      </c>
      <c r="D647" s="64" t="s">
        <v>210</v>
      </c>
      <c r="E647" s="50">
        <v>50</v>
      </c>
      <c r="F647" s="125">
        <v>13640</v>
      </c>
      <c r="G647" s="125">
        <f t="shared" si="28"/>
        <v>682000</v>
      </c>
      <c r="H647" s="105" t="s">
        <v>903</v>
      </c>
      <c r="J647" s="74"/>
      <c r="K647" s="74"/>
    </row>
    <row r="648" spans="1:11" ht="15.75">
      <c r="A648" s="61"/>
      <c r="B648" s="62"/>
      <c r="C648" s="29" t="s">
        <v>850</v>
      </c>
      <c r="D648" s="64" t="s">
        <v>42</v>
      </c>
      <c r="E648" s="50">
        <v>6</v>
      </c>
      <c r="F648" s="125">
        <v>193000</v>
      </c>
      <c r="G648" s="125">
        <f t="shared" si="28"/>
        <v>1158000</v>
      </c>
      <c r="H648" s="105" t="s">
        <v>187</v>
      </c>
      <c r="J648" s="74"/>
      <c r="K648" s="74"/>
    </row>
    <row r="649" spans="1:11" ht="18.75">
      <c r="A649" s="61"/>
      <c r="B649" s="62"/>
      <c r="C649" s="29" t="s">
        <v>36</v>
      </c>
      <c r="D649" s="37" t="s">
        <v>20</v>
      </c>
      <c r="E649" s="50">
        <f>(1*11)+(4*6)</f>
        <v>35</v>
      </c>
      <c r="F649" s="125">
        <v>125000</v>
      </c>
      <c r="G649" s="125">
        <f t="shared" si="28"/>
        <v>4375000</v>
      </c>
      <c r="H649" s="106"/>
      <c r="J649" s="74"/>
      <c r="K649" s="74"/>
    </row>
    <row r="650" spans="1:11" ht="18.75">
      <c r="A650" s="61"/>
      <c r="B650" s="62"/>
      <c r="C650" s="29" t="s">
        <v>25</v>
      </c>
      <c r="D650" s="37" t="s">
        <v>32</v>
      </c>
      <c r="E650" s="50">
        <f>(5.5*1*0.1)*2</f>
        <v>1.1</v>
      </c>
      <c r="F650" s="125">
        <v>1250000</v>
      </c>
      <c r="G650" s="125">
        <f t="shared" si="28"/>
        <v>1375000</v>
      </c>
      <c r="H650" s="106"/>
      <c r="J650" s="74"/>
      <c r="K650" s="74"/>
    </row>
    <row r="651" spans="1:11" ht="18.75">
      <c r="A651" s="61"/>
      <c r="B651" s="62"/>
      <c r="C651" s="29" t="s">
        <v>289</v>
      </c>
      <c r="D651" s="37" t="s">
        <v>20</v>
      </c>
      <c r="E651" s="50">
        <f>(0.8*1)*6</f>
        <v>4.800000000000001</v>
      </c>
      <c r="F651" s="125">
        <v>57000</v>
      </c>
      <c r="G651" s="125">
        <f t="shared" si="28"/>
        <v>273600.00000000006</v>
      </c>
      <c r="H651" s="105" t="s">
        <v>187</v>
      </c>
      <c r="J651" s="74"/>
      <c r="K651" s="74"/>
    </row>
    <row r="652" spans="1:11" ht="15.75">
      <c r="A652" s="61"/>
      <c r="B652" s="62"/>
      <c r="C652" s="29" t="s">
        <v>851</v>
      </c>
      <c r="D652" s="49" t="s">
        <v>43</v>
      </c>
      <c r="E652" s="50">
        <v>2</v>
      </c>
      <c r="F652" s="125">
        <v>600000</v>
      </c>
      <c r="G652" s="125">
        <f t="shared" si="28"/>
        <v>1200000</v>
      </c>
      <c r="H652" s="106"/>
      <c r="J652" s="74"/>
      <c r="K652" s="74"/>
    </row>
    <row r="653" spans="1:11" ht="18.75">
      <c r="A653" s="61"/>
      <c r="B653" s="62"/>
      <c r="C653" s="29" t="s">
        <v>253</v>
      </c>
      <c r="D653" s="37" t="s">
        <v>20</v>
      </c>
      <c r="E653" s="50">
        <v>1</v>
      </c>
      <c r="F653" s="125">
        <v>30000</v>
      </c>
      <c r="G653" s="125">
        <f t="shared" si="28"/>
        <v>30000</v>
      </c>
      <c r="H653" s="106"/>
      <c r="J653" s="74"/>
      <c r="K653" s="74"/>
    </row>
    <row r="654" spans="1:11" ht="15.75">
      <c r="A654" s="61"/>
      <c r="B654" s="62"/>
      <c r="C654" s="29" t="s">
        <v>848</v>
      </c>
      <c r="D654" s="49" t="s">
        <v>37</v>
      </c>
      <c r="E654" s="50">
        <v>4</v>
      </c>
      <c r="F654" s="125">
        <v>40000</v>
      </c>
      <c r="G654" s="125">
        <f t="shared" si="28"/>
        <v>160000</v>
      </c>
      <c r="H654" s="106" t="s">
        <v>187</v>
      </c>
      <c r="J654" s="74"/>
      <c r="K654" s="74"/>
    </row>
    <row r="655" spans="1:11" ht="15.75">
      <c r="A655" s="61"/>
      <c r="B655" s="62"/>
      <c r="C655" s="29" t="s">
        <v>847</v>
      </c>
      <c r="D655" s="49" t="s">
        <v>37</v>
      </c>
      <c r="E655" s="50">
        <v>25</v>
      </c>
      <c r="F655" s="125">
        <v>20000</v>
      </c>
      <c r="G655" s="125">
        <f t="shared" si="28"/>
        <v>500000</v>
      </c>
      <c r="H655" s="106" t="s">
        <v>187</v>
      </c>
      <c r="J655" s="74"/>
      <c r="K655" s="74"/>
    </row>
    <row r="656" spans="1:11" ht="15.75">
      <c r="A656" s="61"/>
      <c r="B656" s="62"/>
      <c r="C656" s="29" t="s">
        <v>852</v>
      </c>
      <c r="D656" s="49" t="s">
        <v>43</v>
      </c>
      <c r="E656" s="50">
        <v>1</v>
      </c>
      <c r="F656" s="125">
        <v>600000</v>
      </c>
      <c r="G656" s="125">
        <f t="shared" si="28"/>
        <v>600000</v>
      </c>
      <c r="H656" s="106"/>
      <c r="J656" s="74"/>
      <c r="K656" s="74"/>
    </row>
    <row r="657" spans="1:11" ht="15.75">
      <c r="A657" s="61"/>
      <c r="B657" s="62"/>
      <c r="C657" s="29" t="s">
        <v>1058</v>
      </c>
      <c r="D657" s="49" t="s">
        <v>43</v>
      </c>
      <c r="E657" s="50">
        <v>1</v>
      </c>
      <c r="F657" s="125">
        <v>600000</v>
      </c>
      <c r="G657" s="125">
        <f t="shared" si="28"/>
        <v>600000</v>
      </c>
      <c r="H657" s="106"/>
      <c r="J657" s="74"/>
      <c r="K657" s="74"/>
    </row>
    <row r="658" spans="1:11" ht="15.75">
      <c r="A658" s="61"/>
      <c r="B658" s="62"/>
      <c r="C658" s="29" t="s">
        <v>203</v>
      </c>
      <c r="D658" s="49" t="s">
        <v>145</v>
      </c>
      <c r="E658" s="50">
        <v>2</v>
      </c>
      <c r="F658" s="125">
        <v>96000</v>
      </c>
      <c r="G658" s="125">
        <f t="shared" si="28"/>
        <v>192000</v>
      </c>
      <c r="H658" s="106"/>
      <c r="J658" s="74"/>
      <c r="K658" s="74"/>
    </row>
    <row r="659" spans="1:11" ht="15.75">
      <c r="A659" s="61"/>
      <c r="B659" s="62"/>
      <c r="C659" s="29" t="s">
        <v>1048</v>
      </c>
      <c r="D659" s="49" t="s">
        <v>43</v>
      </c>
      <c r="E659" s="50">
        <v>1</v>
      </c>
      <c r="F659" s="125">
        <v>40000</v>
      </c>
      <c r="G659" s="125">
        <f t="shared" si="28"/>
        <v>40000</v>
      </c>
      <c r="H659" s="106"/>
      <c r="J659" s="74"/>
      <c r="K659" s="74"/>
    </row>
    <row r="660" spans="1:11" ht="15.75">
      <c r="A660" s="61"/>
      <c r="B660" s="62"/>
      <c r="C660" s="29" t="s">
        <v>1059</v>
      </c>
      <c r="D660" s="49" t="s">
        <v>43</v>
      </c>
      <c r="E660" s="50">
        <v>1</v>
      </c>
      <c r="F660" s="125">
        <v>250000</v>
      </c>
      <c r="G660" s="125">
        <f t="shared" si="28"/>
        <v>250000</v>
      </c>
      <c r="H660" s="106"/>
      <c r="J660" s="74"/>
      <c r="K660" s="74"/>
    </row>
    <row r="661" spans="1:11" ht="15.75">
      <c r="A661" s="61"/>
      <c r="B661" s="62"/>
      <c r="C661" s="29" t="s">
        <v>1060</v>
      </c>
      <c r="D661" s="49" t="s">
        <v>43</v>
      </c>
      <c r="E661" s="50">
        <v>1</v>
      </c>
      <c r="F661" s="125">
        <v>682000</v>
      </c>
      <c r="G661" s="125">
        <f t="shared" si="28"/>
        <v>682000</v>
      </c>
      <c r="H661" s="106"/>
      <c r="J661" s="74"/>
      <c r="K661" s="74"/>
    </row>
    <row r="662" spans="1:11" ht="15.75">
      <c r="A662" s="61"/>
      <c r="B662" s="62"/>
      <c r="C662" s="29" t="s">
        <v>1061</v>
      </c>
      <c r="D662" s="49" t="s">
        <v>43</v>
      </c>
      <c r="E662" s="50">
        <v>1</v>
      </c>
      <c r="F662" s="125">
        <v>1300000</v>
      </c>
      <c r="G662" s="125">
        <f t="shared" si="28"/>
        <v>1300000</v>
      </c>
      <c r="H662" s="106"/>
      <c r="J662" s="74"/>
      <c r="K662" s="74"/>
    </row>
    <row r="663" spans="1:11" ht="15.75">
      <c r="A663" s="61"/>
      <c r="B663" s="62"/>
      <c r="C663" s="29" t="s">
        <v>1137</v>
      </c>
      <c r="D663" s="49" t="s">
        <v>43</v>
      </c>
      <c r="E663" s="50">
        <v>1</v>
      </c>
      <c r="F663" s="125">
        <v>160000</v>
      </c>
      <c r="G663" s="125">
        <f t="shared" si="28"/>
        <v>160000</v>
      </c>
      <c r="H663" s="106"/>
      <c r="J663" s="74"/>
      <c r="K663" s="74"/>
    </row>
    <row r="664" spans="1:11" ht="15.75">
      <c r="A664" s="42"/>
      <c r="B664" s="43" t="s">
        <v>5</v>
      </c>
      <c r="C664" s="44"/>
      <c r="D664" s="45"/>
      <c r="E664" s="46"/>
      <c r="F664" s="133"/>
      <c r="G664" s="156">
        <f>SUM(G633:G663)</f>
        <v>7075398660</v>
      </c>
      <c r="H664" s="261"/>
      <c r="J664" s="74"/>
      <c r="K664" s="74"/>
    </row>
    <row r="665" spans="1:11" ht="38.25" customHeight="1">
      <c r="A665" s="54">
        <v>41</v>
      </c>
      <c r="B665" s="55" t="s">
        <v>254</v>
      </c>
      <c r="C665" s="56" t="s">
        <v>649</v>
      </c>
      <c r="D665" s="37" t="s">
        <v>20</v>
      </c>
      <c r="E665" s="57">
        <v>525.6</v>
      </c>
      <c r="F665" s="125"/>
      <c r="G665" s="125"/>
      <c r="H665" s="105"/>
      <c r="J665" s="74"/>
      <c r="K665" s="74"/>
    </row>
    <row r="666" spans="1:11" ht="21.75" customHeight="1">
      <c r="A666" s="54"/>
      <c r="B666" s="55" t="s">
        <v>650</v>
      </c>
      <c r="C666" s="29" t="s">
        <v>195</v>
      </c>
      <c r="D666" s="37"/>
      <c r="E666" s="77"/>
      <c r="F666" s="125"/>
      <c r="G666" s="125"/>
      <c r="H666" s="105"/>
      <c r="J666" s="74"/>
      <c r="K666" s="74"/>
    </row>
    <row r="667" spans="1:11" ht="110.25">
      <c r="A667" s="54"/>
      <c r="B667" s="62" t="s">
        <v>256</v>
      </c>
      <c r="C667" s="29" t="s">
        <v>809</v>
      </c>
      <c r="D667" s="37" t="s">
        <v>20</v>
      </c>
      <c r="E667" s="84">
        <v>525.6</v>
      </c>
      <c r="F667" s="125">
        <v>6704500</v>
      </c>
      <c r="G667" s="125">
        <f>F667*E667</f>
        <v>3523885200</v>
      </c>
      <c r="H667" s="105"/>
      <c r="J667" s="74"/>
      <c r="K667" s="74"/>
    </row>
    <row r="668" spans="1:11" ht="63">
      <c r="A668" s="54"/>
      <c r="B668" s="30" t="s">
        <v>525</v>
      </c>
      <c r="C668" s="29" t="s">
        <v>255</v>
      </c>
      <c r="D668" s="37" t="s">
        <v>20</v>
      </c>
      <c r="E668" s="84">
        <f>5*6.2</f>
        <v>31</v>
      </c>
      <c r="F668" s="125">
        <f>3230000-(5%*3230000)</f>
        <v>3068500</v>
      </c>
      <c r="G668" s="125">
        <f>F668*E668</f>
        <v>95123500</v>
      </c>
      <c r="H668" s="105" t="s">
        <v>184</v>
      </c>
      <c r="J668" s="74"/>
      <c r="K668" s="74"/>
    </row>
    <row r="669" spans="1:11" ht="31.5">
      <c r="A669" s="61"/>
      <c r="B669" s="62" t="s">
        <v>258</v>
      </c>
      <c r="C669" s="30" t="s">
        <v>570</v>
      </c>
      <c r="D669" s="37" t="s">
        <v>20</v>
      </c>
      <c r="E669" s="60">
        <f>7.8*3</f>
        <v>23.4</v>
      </c>
      <c r="F669" s="130">
        <v>498000</v>
      </c>
      <c r="G669" s="125">
        <f aca="true" t="shared" si="29" ref="G669:G695">F669*E669</f>
        <v>11653200</v>
      </c>
      <c r="H669" s="106"/>
      <c r="J669" s="74"/>
      <c r="K669" s="74"/>
    </row>
    <row r="670" spans="1:11" ht="39" customHeight="1">
      <c r="A670" s="61"/>
      <c r="B670" s="217"/>
      <c r="C670" s="48" t="s">
        <v>257</v>
      </c>
      <c r="D670" s="37" t="s">
        <v>20</v>
      </c>
      <c r="E670" s="50">
        <f>5.7*2.4</f>
        <v>13.68</v>
      </c>
      <c r="F670" s="125">
        <v>150000</v>
      </c>
      <c r="G670" s="125">
        <f t="shared" si="29"/>
        <v>2052000</v>
      </c>
      <c r="H670" s="106"/>
      <c r="J670" s="74"/>
      <c r="K670" s="74"/>
    </row>
    <row r="671" spans="1:11" ht="39.75" customHeight="1">
      <c r="A671" s="61"/>
      <c r="B671" s="217"/>
      <c r="C671" s="29" t="s">
        <v>259</v>
      </c>
      <c r="D671" s="37" t="s">
        <v>20</v>
      </c>
      <c r="E671" s="50">
        <f>3.1*9.3</f>
        <v>28.830000000000002</v>
      </c>
      <c r="F671" s="130">
        <v>821000</v>
      </c>
      <c r="G671" s="125">
        <f t="shared" si="29"/>
        <v>23669430</v>
      </c>
      <c r="H671" s="106"/>
      <c r="J671" s="74"/>
      <c r="K671" s="74"/>
    </row>
    <row r="672" spans="1:11" ht="31.5">
      <c r="A672" s="61"/>
      <c r="B672" s="62"/>
      <c r="C672" s="29" t="s">
        <v>260</v>
      </c>
      <c r="D672" s="37" t="s">
        <v>20</v>
      </c>
      <c r="E672" s="50">
        <f>(4.5*5)+(4.8*14.6)+(4*3)</f>
        <v>104.58</v>
      </c>
      <c r="F672" s="130">
        <v>498000</v>
      </c>
      <c r="G672" s="125">
        <f t="shared" si="29"/>
        <v>52080840</v>
      </c>
      <c r="H672" s="106"/>
      <c r="J672" s="74"/>
      <c r="K672" s="74"/>
    </row>
    <row r="673" spans="1:11" ht="31.5">
      <c r="A673" s="61"/>
      <c r="B673" s="62"/>
      <c r="C673" s="29" t="s">
        <v>261</v>
      </c>
      <c r="D673" s="37" t="s">
        <v>20</v>
      </c>
      <c r="E673" s="50">
        <f>7.5*3</f>
        <v>22.5</v>
      </c>
      <c r="F673" s="125">
        <v>410000</v>
      </c>
      <c r="G673" s="125">
        <f t="shared" si="29"/>
        <v>9225000</v>
      </c>
      <c r="H673" s="106"/>
      <c r="J673" s="74"/>
      <c r="K673" s="74"/>
    </row>
    <row r="674" spans="1:11" ht="63">
      <c r="A674" s="61"/>
      <c r="B674" s="62"/>
      <c r="C674" s="29" t="s">
        <v>262</v>
      </c>
      <c r="D674" s="37" t="s">
        <v>20</v>
      </c>
      <c r="E674" s="50">
        <f>2*2.15</f>
        <v>4.3</v>
      </c>
      <c r="F674" s="125">
        <v>2450000</v>
      </c>
      <c r="G674" s="125">
        <f t="shared" si="29"/>
        <v>10535000</v>
      </c>
      <c r="H674" s="106"/>
      <c r="J674" s="74"/>
      <c r="K674" s="74"/>
    </row>
    <row r="675" spans="1:11" ht="18.75">
      <c r="A675" s="61"/>
      <c r="B675" s="62"/>
      <c r="C675" s="29" t="s">
        <v>36</v>
      </c>
      <c r="D675" s="37" t="s">
        <v>20</v>
      </c>
      <c r="E675" s="50">
        <f>(2.9*2.5)+(2.7*2.5)</f>
        <v>14</v>
      </c>
      <c r="F675" s="125">
        <v>125000</v>
      </c>
      <c r="G675" s="125">
        <f t="shared" si="29"/>
        <v>1750000</v>
      </c>
      <c r="H675" s="106"/>
      <c r="J675" s="74"/>
      <c r="K675" s="74"/>
    </row>
    <row r="676" spans="1:11" ht="31.5">
      <c r="A676" s="61"/>
      <c r="B676" s="62"/>
      <c r="C676" s="29" t="s">
        <v>311</v>
      </c>
      <c r="D676" s="37" t="s">
        <v>20</v>
      </c>
      <c r="E676" s="50">
        <f>(2.9+2.5)*1.8</f>
        <v>9.72</v>
      </c>
      <c r="F676" s="125">
        <v>110000</v>
      </c>
      <c r="G676" s="125">
        <f t="shared" si="29"/>
        <v>1069200</v>
      </c>
      <c r="H676" s="106"/>
      <c r="J676" s="74"/>
      <c r="K676" s="74"/>
    </row>
    <row r="677" spans="1:11" ht="18.75">
      <c r="A677" s="61"/>
      <c r="B677" s="62"/>
      <c r="C677" s="29" t="s">
        <v>263</v>
      </c>
      <c r="D677" s="37" t="s">
        <v>20</v>
      </c>
      <c r="E677" s="50">
        <f>1.1*2</f>
        <v>2.2</v>
      </c>
      <c r="F677" s="125">
        <v>125000</v>
      </c>
      <c r="G677" s="125">
        <f t="shared" si="29"/>
        <v>275000</v>
      </c>
      <c r="H677" s="106"/>
      <c r="J677" s="74"/>
      <c r="K677" s="74"/>
    </row>
    <row r="678" spans="1:11" ht="18.75">
      <c r="A678" s="61"/>
      <c r="B678" s="62"/>
      <c r="C678" s="29" t="s">
        <v>264</v>
      </c>
      <c r="D678" s="37" t="s">
        <v>32</v>
      </c>
      <c r="E678" s="50">
        <f>(((1.25*2*0.1)*6)*3)</f>
        <v>4.5</v>
      </c>
      <c r="F678" s="125">
        <v>1684000</v>
      </c>
      <c r="G678" s="125">
        <f t="shared" si="29"/>
        <v>7578000</v>
      </c>
      <c r="H678" s="106"/>
      <c r="J678" s="74"/>
      <c r="K678" s="74"/>
    </row>
    <row r="679" spans="1:11" ht="18.75">
      <c r="A679" s="61"/>
      <c r="B679" s="62"/>
      <c r="C679" s="29" t="s">
        <v>25</v>
      </c>
      <c r="D679" s="37" t="s">
        <v>32</v>
      </c>
      <c r="E679" s="50">
        <f>(((2.1+2.7+2.1)*0.5)*0.1)</f>
        <v>0.34500000000000003</v>
      </c>
      <c r="F679" s="125">
        <v>1250000</v>
      </c>
      <c r="G679" s="125">
        <f t="shared" si="29"/>
        <v>431250.00000000006</v>
      </c>
      <c r="H679" s="106"/>
      <c r="J679" s="74"/>
      <c r="K679" s="74"/>
    </row>
    <row r="680" spans="1:11" ht="18.75">
      <c r="A680" s="61"/>
      <c r="B680" s="62"/>
      <c r="C680" s="29" t="s">
        <v>26</v>
      </c>
      <c r="D680" s="37" t="s">
        <v>20</v>
      </c>
      <c r="E680" s="50">
        <f>(2.1+2.7)*0.5</f>
        <v>2.4000000000000004</v>
      </c>
      <c r="F680" s="130">
        <v>82000</v>
      </c>
      <c r="G680" s="125">
        <f t="shared" si="29"/>
        <v>196800.00000000003</v>
      </c>
      <c r="H680" s="106"/>
      <c r="J680" s="74"/>
      <c r="K680" s="74"/>
    </row>
    <row r="681" spans="1:11" ht="42" customHeight="1">
      <c r="A681" s="61"/>
      <c r="B681" s="62"/>
      <c r="C681" s="29" t="s">
        <v>853</v>
      </c>
      <c r="D681" s="37" t="s">
        <v>20</v>
      </c>
      <c r="E681" s="50">
        <v>56</v>
      </c>
      <c r="F681" s="125">
        <v>193000</v>
      </c>
      <c r="G681" s="125">
        <f t="shared" si="29"/>
        <v>10808000</v>
      </c>
      <c r="H681" s="106"/>
      <c r="J681" s="74"/>
      <c r="K681" s="74"/>
    </row>
    <row r="682" spans="1:11" ht="15.75">
      <c r="A682" s="61"/>
      <c r="B682" s="62"/>
      <c r="C682" s="29" t="s">
        <v>846</v>
      </c>
      <c r="D682" s="49" t="s">
        <v>210</v>
      </c>
      <c r="E682" s="50">
        <v>70</v>
      </c>
      <c r="F682" s="125"/>
      <c r="G682" s="125">
        <f t="shared" si="29"/>
        <v>0</v>
      </c>
      <c r="H682" s="106"/>
      <c r="J682" s="74"/>
      <c r="K682" s="74"/>
    </row>
    <row r="683" spans="1:11" ht="15.75">
      <c r="A683" s="61"/>
      <c r="B683" s="62"/>
      <c r="C683" s="29" t="s">
        <v>843</v>
      </c>
      <c r="D683" s="64" t="s">
        <v>210</v>
      </c>
      <c r="E683" s="50">
        <v>30</v>
      </c>
      <c r="F683" s="130">
        <v>106810</v>
      </c>
      <c r="G683" s="125">
        <f t="shared" si="29"/>
        <v>3204300</v>
      </c>
      <c r="H683" s="105" t="s">
        <v>903</v>
      </c>
      <c r="J683" s="74"/>
      <c r="K683" s="74"/>
    </row>
    <row r="684" spans="1:11" ht="15.75">
      <c r="A684" s="61"/>
      <c r="B684" s="62"/>
      <c r="C684" s="29" t="s">
        <v>873</v>
      </c>
      <c r="D684" s="64" t="s">
        <v>210</v>
      </c>
      <c r="E684" s="50">
        <v>45</v>
      </c>
      <c r="F684" s="125">
        <v>9680</v>
      </c>
      <c r="G684" s="125">
        <f t="shared" si="29"/>
        <v>435600</v>
      </c>
      <c r="H684" s="105" t="s">
        <v>903</v>
      </c>
      <c r="J684" s="74"/>
      <c r="K684" s="74"/>
    </row>
    <row r="685" spans="1:11" ht="15.75">
      <c r="A685" s="61"/>
      <c r="B685" s="62"/>
      <c r="C685" s="29" t="s">
        <v>1062</v>
      </c>
      <c r="D685" s="49" t="s">
        <v>43</v>
      </c>
      <c r="E685" s="50">
        <v>2</v>
      </c>
      <c r="F685" s="125">
        <v>3000000</v>
      </c>
      <c r="G685" s="125">
        <f t="shared" si="29"/>
        <v>6000000</v>
      </c>
      <c r="H685" s="106"/>
      <c r="J685" s="74"/>
      <c r="K685" s="74"/>
    </row>
    <row r="686" spans="1:11" ht="15.75">
      <c r="A686" s="61"/>
      <c r="B686" s="62"/>
      <c r="C686" s="29" t="s">
        <v>1041</v>
      </c>
      <c r="D686" s="49" t="s">
        <v>43</v>
      </c>
      <c r="E686" s="50">
        <v>3</v>
      </c>
      <c r="F686" s="125">
        <v>250000</v>
      </c>
      <c r="G686" s="125">
        <f t="shared" si="29"/>
        <v>750000</v>
      </c>
      <c r="H686" s="106"/>
      <c r="J686" s="74"/>
      <c r="K686" s="74"/>
    </row>
    <row r="687" spans="1:11" ht="15.75">
      <c r="A687" s="61"/>
      <c r="B687" s="62"/>
      <c r="C687" s="29" t="s">
        <v>847</v>
      </c>
      <c r="D687" s="49" t="s">
        <v>37</v>
      </c>
      <c r="E687" s="50">
        <v>48</v>
      </c>
      <c r="F687" s="125">
        <v>20000</v>
      </c>
      <c r="G687" s="125">
        <f t="shared" si="29"/>
        <v>960000</v>
      </c>
      <c r="H687" s="106" t="s">
        <v>187</v>
      </c>
      <c r="J687" s="74"/>
      <c r="K687" s="74"/>
    </row>
    <row r="688" spans="1:11" ht="15.75">
      <c r="A688" s="61"/>
      <c r="B688" s="62"/>
      <c r="C688" s="29" t="s">
        <v>848</v>
      </c>
      <c r="D688" s="49" t="s">
        <v>37</v>
      </c>
      <c r="E688" s="50">
        <v>14</v>
      </c>
      <c r="F688" s="125">
        <v>40000</v>
      </c>
      <c r="G688" s="125">
        <f t="shared" si="29"/>
        <v>560000</v>
      </c>
      <c r="H688" s="106" t="s">
        <v>187</v>
      </c>
      <c r="J688" s="74"/>
      <c r="K688" s="74"/>
    </row>
    <row r="689" spans="1:11" ht="15.75">
      <c r="A689" s="61"/>
      <c r="B689" s="62"/>
      <c r="C689" s="29" t="s">
        <v>1000</v>
      </c>
      <c r="D689" s="49" t="s">
        <v>43</v>
      </c>
      <c r="E689" s="50">
        <v>5</v>
      </c>
      <c r="F689" s="125">
        <v>600000</v>
      </c>
      <c r="G689" s="125">
        <f t="shared" si="29"/>
        <v>3000000</v>
      </c>
      <c r="H689" s="106"/>
      <c r="J689" s="74"/>
      <c r="K689" s="74"/>
    </row>
    <row r="690" spans="1:11" ht="15.75">
      <c r="A690" s="61"/>
      <c r="B690" s="62"/>
      <c r="C690" s="29" t="s">
        <v>1063</v>
      </c>
      <c r="D690" s="49" t="s">
        <v>43</v>
      </c>
      <c r="E690" s="50">
        <v>1</v>
      </c>
      <c r="F690" s="125">
        <v>600000</v>
      </c>
      <c r="G690" s="125">
        <f t="shared" si="29"/>
        <v>600000</v>
      </c>
      <c r="H690" s="106"/>
      <c r="J690" s="74"/>
      <c r="K690" s="74"/>
    </row>
    <row r="691" spans="1:11" ht="15.75">
      <c r="A691" s="61"/>
      <c r="B691" s="62"/>
      <c r="C691" s="29" t="s">
        <v>972</v>
      </c>
      <c r="D691" s="49" t="s">
        <v>43</v>
      </c>
      <c r="E691" s="50">
        <v>3</v>
      </c>
      <c r="F691" s="125">
        <v>300000</v>
      </c>
      <c r="G691" s="125">
        <f t="shared" si="29"/>
        <v>900000</v>
      </c>
      <c r="H691" s="106"/>
      <c r="J691" s="74"/>
      <c r="K691" s="74"/>
    </row>
    <row r="692" spans="1:11" ht="15.75">
      <c r="A692" s="61"/>
      <c r="B692" s="62"/>
      <c r="C692" s="29" t="s">
        <v>1064</v>
      </c>
      <c r="D692" s="49" t="s">
        <v>43</v>
      </c>
      <c r="E692" s="50">
        <v>4</v>
      </c>
      <c r="F692" s="125">
        <v>2000000</v>
      </c>
      <c r="G692" s="125">
        <f t="shared" si="29"/>
        <v>8000000</v>
      </c>
      <c r="H692" s="106"/>
      <c r="J692" s="74"/>
      <c r="K692" s="74"/>
    </row>
    <row r="693" spans="1:11" ht="15.75">
      <c r="A693" s="61"/>
      <c r="B693" s="62"/>
      <c r="C693" s="29" t="s">
        <v>1065</v>
      </c>
      <c r="D693" s="49" t="s">
        <v>43</v>
      </c>
      <c r="E693" s="50">
        <v>5</v>
      </c>
      <c r="F693" s="125">
        <v>600000</v>
      </c>
      <c r="G693" s="125">
        <f t="shared" si="29"/>
        <v>3000000</v>
      </c>
      <c r="H693" s="106"/>
      <c r="J693" s="74"/>
      <c r="K693" s="74"/>
    </row>
    <row r="694" spans="1:11" ht="15.75">
      <c r="A694" s="61"/>
      <c r="B694" s="62"/>
      <c r="C694" s="29" t="s">
        <v>1066</v>
      </c>
      <c r="D694" s="49" t="s">
        <v>43</v>
      </c>
      <c r="E694" s="50">
        <v>2</v>
      </c>
      <c r="F694" s="125">
        <v>1200000</v>
      </c>
      <c r="G694" s="125">
        <f t="shared" si="29"/>
        <v>2400000</v>
      </c>
      <c r="H694" s="106"/>
      <c r="J694" s="74"/>
      <c r="K694" s="74"/>
    </row>
    <row r="695" spans="1:11" ht="15.75">
      <c r="A695" s="61"/>
      <c r="B695" s="62"/>
      <c r="C695" s="29" t="s">
        <v>265</v>
      </c>
      <c r="D695" s="49" t="s">
        <v>145</v>
      </c>
      <c r="E695" s="50">
        <v>1</v>
      </c>
      <c r="F695" s="130">
        <v>160000</v>
      </c>
      <c r="G695" s="125">
        <f t="shared" si="29"/>
        <v>160000</v>
      </c>
      <c r="H695" s="106"/>
      <c r="J695" s="74"/>
      <c r="K695" s="74"/>
    </row>
    <row r="696" spans="1:11" ht="15.75">
      <c r="A696" s="42"/>
      <c r="B696" s="43" t="s">
        <v>5</v>
      </c>
      <c r="C696" s="44"/>
      <c r="D696" s="45"/>
      <c r="E696" s="46"/>
      <c r="F696" s="133"/>
      <c r="G696" s="156">
        <f>SUM(G665:G695)</f>
        <v>3780302320</v>
      </c>
      <c r="H696" s="261"/>
      <c r="J696" s="74"/>
      <c r="K696" s="74"/>
    </row>
    <row r="697" spans="1:11" ht="31.5">
      <c r="A697" s="54">
        <v>42</v>
      </c>
      <c r="B697" s="55" t="s">
        <v>266</v>
      </c>
      <c r="C697" s="56" t="s">
        <v>651</v>
      </c>
      <c r="D697" s="37" t="s">
        <v>20</v>
      </c>
      <c r="E697" s="57">
        <v>8180.3</v>
      </c>
      <c r="F697" s="125"/>
      <c r="G697" s="125"/>
      <c r="H697" s="105"/>
      <c r="J697" s="74"/>
      <c r="K697" s="74"/>
    </row>
    <row r="698" spans="1:11" ht="15.75">
      <c r="A698" s="54"/>
      <c r="B698" s="62" t="s">
        <v>267</v>
      </c>
      <c r="C698" s="29" t="s">
        <v>195</v>
      </c>
      <c r="D698" s="37"/>
      <c r="E698" s="84"/>
      <c r="F698" s="125"/>
      <c r="G698" s="125"/>
      <c r="H698" s="105"/>
      <c r="J698" s="74"/>
      <c r="K698" s="74"/>
    </row>
    <row r="699" spans="1:11" ht="94.5">
      <c r="A699" s="54"/>
      <c r="B699" s="30" t="s">
        <v>530</v>
      </c>
      <c r="C699" s="29" t="s">
        <v>810</v>
      </c>
      <c r="D699" s="37" t="s">
        <v>20</v>
      </c>
      <c r="E699" s="84">
        <v>2252.9</v>
      </c>
      <c r="F699" s="125">
        <v>6704500</v>
      </c>
      <c r="G699" s="125">
        <f>F699*E699</f>
        <v>15104568050</v>
      </c>
      <c r="H699" s="105"/>
      <c r="J699" s="74"/>
      <c r="K699" s="74"/>
    </row>
    <row r="700" spans="1:11" ht="110.25">
      <c r="A700" s="54"/>
      <c r="B700" s="62" t="s">
        <v>258</v>
      </c>
      <c r="C700" s="29" t="s">
        <v>954</v>
      </c>
      <c r="D700" s="37" t="s">
        <v>20</v>
      </c>
      <c r="E700" s="84">
        <v>5927.4</v>
      </c>
      <c r="F700" s="125">
        <v>3352000</v>
      </c>
      <c r="G700" s="125">
        <f>F700*E700</f>
        <v>19868644800</v>
      </c>
      <c r="H700" s="105"/>
      <c r="J700" s="74"/>
      <c r="K700" s="74"/>
    </row>
    <row r="701" spans="1:11" ht="18.75">
      <c r="A701" s="61"/>
      <c r="B701" s="62"/>
      <c r="C701" s="30" t="s">
        <v>798</v>
      </c>
      <c r="D701" s="64" t="s">
        <v>20</v>
      </c>
      <c r="E701" s="84">
        <v>8180.3</v>
      </c>
      <c r="F701" s="130">
        <v>5400</v>
      </c>
      <c r="G701" s="125">
        <f>F701*E701</f>
        <v>44173620</v>
      </c>
      <c r="H701" s="106"/>
      <c r="J701" s="74"/>
      <c r="K701" s="74"/>
    </row>
    <row r="702" spans="1:11" ht="15.75">
      <c r="A702" s="61"/>
      <c r="B702" s="47"/>
      <c r="C702" s="48" t="s">
        <v>854</v>
      </c>
      <c r="D702" s="49" t="s">
        <v>43</v>
      </c>
      <c r="E702" s="50">
        <v>15</v>
      </c>
      <c r="F702" s="125">
        <v>600000</v>
      </c>
      <c r="G702" s="125">
        <f>F702*E702</f>
        <v>9000000</v>
      </c>
      <c r="H702" s="106"/>
      <c r="J702" s="74"/>
      <c r="K702" s="74"/>
    </row>
    <row r="703" spans="1:11" ht="15.75">
      <c r="A703" s="42"/>
      <c r="B703" s="43" t="s">
        <v>5</v>
      </c>
      <c r="C703" s="44"/>
      <c r="D703" s="45"/>
      <c r="E703" s="46"/>
      <c r="F703" s="133"/>
      <c r="G703" s="156">
        <f>SUM(G697:G702)</f>
        <v>35026386470</v>
      </c>
      <c r="H703" s="261"/>
      <c r="J703" s="74"/>
      <c r="K703" s="74"/>
    </row>
    <row r="704" spans="1:11" ht="31.5">
      <c r="A704" s="54">
        <v>43</v>
      </c>
      <c r="B704" s="55" t="s">
        <v>268</v>
      </c>
      <c r="C704" s="56" t="s">
        <v>652</v>
      </c>
      <c r="D704" s="37" t="s">
        <v>20</v>
      </c>
      <c r="E704" s="57">
        <v>39.1</v>
      </c>
      <c r="F704" s="134"/>
      <c r="G704" s="154"/>
      <c r="H704" s="259"/>
      <c r="J704" s="74"/>
      <c r="K704" s="74"/>
    </row>
    <row r="705" spans="1:11" ht="15.75">
      <c r="A705" s="54"/>
      <c r="B705" s="62" t="s">
        <v>17</v>
      </c>
      <c r="C705" s="29" t="s">
        <v>195</v>
      </c>
      <c r="D705" s="37"/>
      <c r="E705" s="60"/>
      <c r="F705" s="247"/>
      <c r="G705" s="125"/>
      <c r="H705" s="105"/>
      <c r="J705" s="74"/>
      <c r="K705" s="74"/>
    </row>
    <row r="706" spans="1:11" ht="94.5" customHeight="1">
      <c r="A706" s="54"/>
      <c r="B706" s="30" t="s">
        <v>525</v>
      </c>
      <c r="C706" s="29" t="s">
        <v>956</v>
      </c>
      <c r="D706" s="37" t="s">
        <v>20</v>
      </c>
      <c r="E706" s="84">
        <v>39.1</v>
      </c>
      <c r="F706" s="125">
        <v>24228000</v>
      </c>
      <c r="G706" s="125">
        <f>F706*E706</f>
        <v>947314800</v>
      </c>
      <c r="H706" s="105"/>
      <c r="J706" s="74"/>
      <c r="K706" s="74"/>
    </row>
    <row r="707" spans="1:11" ht="37.5" customHeight="1">
      <c r="A707" s="54"/>
      <c r="B707" s="62" t="s">
        <v>270</v>
      </c>
      <c r="C707" s="48" t="s">
        <v>269</v>
      </c>
      <c r="D707" s="49"/>
      <c r="E707" s="50"/>
      <c r="F707" s="125"/>
      <c r="G707" s="125"/>
      <c r="H707" s="105"/>
      <c r="J707" s="74"/>
      <c r="K707" s="74"/>
    </row>
    <row r="708" spans="1:11" ht="15.75">
      <c r="A708" s="42"/>
      <c r="B708" s="43" t="s">
        <v>5</v>
      </c>
      <c r="C708" s="44"/>
      <c r="D708" s="45"/>
      <c r="E708" s="46"/>
      <c r="F708" s="133"/>
      <c r="G708" s="156">
        <f>SUM(G704:G707)</f>
        <v>947314800</v>
      </c>
      <c r="H708" s="261"/>
      <c r="J708" s="74"/>
      <c r="K708" s="74"/>
    </row>
    <row r="709" spans="1:11" ht="31.5">
      <c r="A709" s="54">
        <v>44</v>
      </c>
      <c r="B709" s="55" t="s">
        <v>273</v>
      </c>
      <c r="C709" s="56" t="s">
        <v>653</v>
      </c>
      <c r="D709" s="37" t="s">
        <v>20</v>
      </c>
      <c r="E709" s="57">
        <v>301</v>
      </c>
      <c r="F709" s="125"/>
      <c r="G709" s="125"/>
      <c r="H709" s="105"/>
      <c r="J709" s="74"/>
      <c r="K709" s="74"/>
    </row>
    <row r="710" spans="1:11" ht="31.5">
      <c r="A710" s="54"/>
      <c r="B710" s="30" t="s">
        <v>531</v>
      </c>
      <c r="C710" s="29" t="s">
        <v>195</v>
      </c>
      <c r="D710" s="37"/>
      <c r="E710" s="84"/>
      <c r="F710" s="125"/>
      <c r="G710" s="125"/>
      <c r="H710" s="105"/>
      <c r="J710" s="74"/>
      <c r="K710" s="74"/>
    </row>
    <row r="711" spans="1:11" ht="122.25" customHeight="1">
      <c r="A711" s="54"/>
      <c r="B711" s="62" t="s">
        <v>274</v>
      </c>
      <c r="C711" s="48" t="s">
        <v>809</v>
      </c>
      <c r="D711" s="37" t="s">
        <v>20</v>
      </c>
      <c r="E711" s="84">
        <v>301</v>
      </c>
      <c r="F711" s="125">
        <v>6704500</v>
      </c>
      <c r="G711" s="125">
        <f>F711*E711</f>
        <v>2018054500</v>
      </c>
      <c r="H711" s="105"/>
      <c r="J711" s="74"/>
      <c r="K711" s="74"/>
    </row>
    <row r="712" spans="1:11" ht="15.75">
      <c r="A712" s="61"/>
      <c r="B712" s="62"/>
      <c r="C712" s="30" t="s">
        <v>1048</v>
      </c>
      <c r="D712" s="64" t="s">
        <v>43</v>
      </c>
      <c r="E712" s="60">
        <v>3</v>
      </c>
      <c r="F712" s="125">
        <v>40000</v>
      </c>
      <c r="G712" s="125">
        <f>F712*E712</f>
        <v>120000</v>
      </c>
      <c r="H712" s="106"/>
      <c r="J712" s="74"/>
      <c r="K712" s="74"/>
    </row>
    <row r="713" spans="1:11" ht="17.25" customHeight="1">
      <c r="A713" s="61"/>
      <c r="B713" s="30"/>
      <c r="C713" s="48" t="s">
        <v>177</v>
      </c>
      <c r="D713" s="37" t="s">
        <v>20</v>
      </c>
      <c r="E713" s="50">
        <v>2</v>
      </c>
      <c r="F713" s="125">
        <v>6000</v>
      </c>
      <c r="G713" s="125">
        <f>F713*E713</f>
        <v>12000</v>
      </c>
      <c r="H713" s="106"/>
      <c r="J713" s="74"/>
      <c r="K713" s="74"/>
    </row>
    <row r="714" spans="1:11" ht="18.75" customHeight="1">
      <c r="A714" s="61"/>
      <c r="B714" s="62"/>
      <c r="C714" s="29" t="s">
        <v>1067</v>
      </c>
      <c r="D714" s="49" t="s">
        <v>43</v>
      </c>
      <c r="E714" s="50">
        <v>1</v>
      </c>
      <c r="F714" s="125">
        <v>3000000</v>
      </c>
      <c r="G714" s="125">
        <f>F714*E714</f>
        <v>3000000</v>
      </c>
      <c r="H714" s="106"/>
      <c r="J714" s="74"/>
      <c r="K714" s="74"/>
    </row>
    <row r="715" spans="1:11" ht="15.75">
      <c r="A715" s="61"/>
      <c r="B715" s="30"/>
      <c r="C715" s="29" t="s">
        <v>855</v>
      </c>
      <c r="D715" s="64" t="s">
        <v>43</v>
      </c>
      <c r="E715" s="60">
        <v>1</v>
      </c>
      <c r="F715" s="125">
        <v>300000</v>
      </c>
      <c r="G715" s="125">
        <f>F715*E715</f>
        <v>300000</v>
      </c>
      <c r="H715" s="106"/>
      <c r="J715" s="74"/>
      <c r="K715" s="74"/>
    </row>
    <row r="716" spans="1:11" ht="15.75">
      <c r="A716" s="42"/>
      <c r="B716" s="43" t="s">
        <v>5</v>
      </c>
      <c r="C716" s="44"/>
      <c r="D716" s="45"/>
      <c r="E716" s="46"/>
      <c r="F716" s="133"/>
      <c r="G716" s="156">
        <f>SUM(G709:G715)</f>
        <v>2021486500</v>
      </c>
      <c r="H716" s="261"/>
      <c r="J716" s="74"/>
      <c r="K716" s="74"/>
    </row>
    <row r="717" spans="1:11" ht="31.5">
      <c r="A717" s="54">
        <v>45</v>
      </c>
      <c r="B717" s="55" t="s">
        <v>275</v>
      </c>
      <c r="C717" s="56" t="s">
        <v>654</v>
      </c>
      <c r="D717" s="37" t="s">
        <v>20</v>
      </c>
      <c r="E717" s="57">
        <v>301.4</v>
      </c>
      <c r="F717" s="125"/>
      <c r="G717" s="125"/>
      <c r="H717" s="105"/>
      <c r="J717" s="74"/>
      <c r="K717" s="74"/>
    </row>
    <row r="718" spans="1:11" ht="31.5">
      <c r="A718" s="54"/>
      <c r="B718" s="30" t="s">
        <v>532</v>
      </c>
      <c r="C718" s="29" t="s">
        <v>195</v>
      </c>
      <c r="D718" s="37"/>
      <c r="E718" s="84"/>
      <c r="F718" s="125"/>
      <c r="G718" s="125"/>
      <c r="H718" s="105"/>
      <c r="J718" s="74"/>
      <c r="K718" s="74"/>
    </row>
    <row r="719" spans="1:11" ht="130.5" customHeight="1">
      <c r="A719" s="54"/>
      <c r="B719" s="62" t="s">
        <v>276</v>
      </c>
      <c r="C719" s="48" t="s">
        <v>809</v>
      </c>
      <c r="D719" s="37" t="s">
        <v>20</v>
      </c>
      <c r="E719" s="84">
        <v>301.4</v>
      </c>
      <c r="F719" s="125">
        <v>6704500</v>
      </c>
      <c r="G719" s="125">
        <f>F719*E719</f>
        <v>2020736299.9999998</v>
      </c>
      <c r="H719" s="105"/>
      <c r="J719" s="74"/>
      <c r="K719" s="74"/>
    </row>
    <row r="720" spans="1:11" ht="108.75" customHeight="1">
      <c r="A720" s="61"/>
      <c r="B720" s="62"/>
      <c r="C720" s="30" t="s">
        <v>309</v>
      </c>
      <c r="D720" s="37" t="s">
        <v>20</v>
      </c>
      <c r="E720" s="60">
        <f>9*8</f>
        <v>72</v>
      </c>
      <c r="F720" s="130">
        <v>3230000</v>
      </c>
      <c r="G720" s="125">
        <f>F720*E720</f>
        <v>232560000</v>
      </c>
      <c r="H720" s="106"/>
      <c r="J720" s="74"/>
      <c r="K720" s="74"/>
    </row>
    <row r="721" spans="1:11" ht="18.75">
      <c r="A721" s="61"/>
      <c r="B721" s="30"/>
      <c r="C721" s="48" t="s">
        <v>28</v>
      </c>
      <c r="D721" s="37" t="s">
        <v>20</v>
      </c>
      <c r="E721" s="50">
        <f>6.5*1.5</f>
        <v>9.75</v>
      </c>
      <c r="F721" s="125">
        <v>85000</v>
      </c>
      <c r="G721" s="125">
        <f aca="true" t="shared" si="30" ref="G721:G730">F721*E721</f>
        <v>828750</v>
      </c>
      <c r="H721" s="106" t="s">
        <v>187</v>
      </c>
      <c r="J721" s="74"/>
      <c r="K721" s="74"/>
    </row>
    <row r="722" spans="1:11" ht="18.75">
      <c r="A722" s="61"/>
      <c r="B722" s="62"/>
      <c r="C722" s="29" t="s">
        <v>25</v>
      </c>
      <c r="D722" s="37" t="s">
        <v>32</v>
      </c>
      <c r="E722" s="50">
        <f>(((1.6+1.4)*0.5)*2)*0.1</f>
        <v>0.30000000000000004</v>
      </c>
      <c r="F722" s="125">
        <v>1250000</v>
      </c>
      <c r="G722" s="125">
        <f t="shared" si="30"/>
        <v>375000.00000000006</v>
      </c>
      <c r="H722" s="106"/>
      <c r="J722" s="74"/>
      <c r="K722" s="74"/>
    </row>
    <row r="723" spans="1:11" ht="15.75">
      <c r="A723" s="61"/>
      <c r="B723" s="62"/>
      <c r="C723" s="29" t="s">
        <v>882</v>
      </c>
      <c r="D723" s="64" t="s">
        <v>210</v>
      </c>
      <c r="E723" s="50">
        <v>40</v>
      </c>
      <c r="F723" s="125">
        <v>13640</v>
      </c>
      <c r="G723" s="125">
        <f t="shared" si="30"/>
        <v>545600</v>
      </c>
      <c r="H723" s="105" t="s">
        <v>903</v>
      </c>
      <c r="J723" s="74"/>
      <c r="K723" s="74"/>
    </row>
    <row r="724" spans="1:11" ht="18.75">
      <c r="A724" s="61"/>
      <c r="B724" s="62"/>
      <c r="C724" s="29" t="s">
        <v>169</v>
      </c>
      <c r="D724" s="37" t="s">
        <v>32</v>
      </c>
      <c r="E724" s="50">
        <f>(((1.25*3*2.5)*0.1)*6)+(((0.6*0.6*0.6)*0.1)*6)</f>
        <v>5.7546</v>
      </c>
      <c r="F724" s="130">
        <f>1684000</f>
        <v>1684000</v>
      </c>
      <c r="G724" s="125">
        <f t="shared" si="30"/>
        <v>9690746.4</v>
      </c>
      <c r="H724" s="106"/>
      <c r="J724" s="74"/>
      <c r="K724" s="74"/>
    </row>
    <row r="725" spans="1:11" ht="15.75">
      <c r="A725" s="61"/>
      <c r="B725" s="62"/>
      <c r="C725" s="29" t="s">
        <v>856</v>
      </c>
      <c r="D725" s="64" t="s">
        <v>210</v>
      </c>
      <c r="E725" s="50">
        <v>6</v>
      </c>
      <c r="F725" s="130">
        <v>106810</v>
      </c>
      <c r="G725" s="125">
        <f t="shared" si="30"/>
        <v>640860</v>
      </c>
      <c r="H725" s="105" t="s">
        <v>903</v>
      </c>
      <c r="J725" s="74"/>
      <c r="K725" s="74"/>
    </row>
    <row r="726" spans="1:11" ht="15.75">
      <c r="A726" s="61"/>
      <c r="B726" s="62"/>
      <c r="C726" s="29" t="s">
        <v>857</v>
      </c>
      <c r="D726" s="64" t="s">
        <v>210</v>
      </c>
      <c r="E726" s="50">
        <v>30</v>
      </c>
      <c r="F726" s="125">
        <v>44770</v>
      </c>
      <c r="G726" s="125">
        <f t="shared" si="30"/>
        <v>1343100</v>
      </c>
      <c r="H726" s="105" t="s">
        <v>903</v>
      </c>
      <c r="J726" s="74"/>
      <c r="K726" s="74"/>
    </row>
    <row r="727" spans="1:11" ht="15.75">
      <c r="A727" s="61"/>
      <c r="B727" s="62"/>
      <c r="C727" s="29" t="s">
        <v>848</v>
      </c>
      <c r="D727" s="49" t="s">
        <v>37</v>
      </c>
      <c r="E727" s="50">
        <v>15</v>
      </c>
      <c r="F727" s="125">
        <v>40000</v>
      </c>
      <c r="G727" s="125">
        <f t="shared" si="30"/>
        <v>600000</v>
      </c>
      <c r="H727" s="106" t="s">
        <v>187</v>
      </c>
      <c r="J727" s="74"/>
      <c r="K727" s="74"/>
    </row>
    <row r="728" spans="1:11" ht="15.75">
      <c r="A728" s="61"/>
      <c r="B728" s="62"/>
      <c r="C728" s="29" t="s">
        <v>847</v>
      </c>
      <c r="D728" s="49" t="s">
        <v>37</v>
      </c>
      <c r="E728" s="50">
        <v>35</v>
      </c>
      <c r="F728" s="125">
        <v>20000</v>
      </c>
      <c r="G728" s="125">
        <f t="shared" si="30"/>
        <v>700000</v>
      </c>
      <c r="H728" s="106" t="s">
        <v>187</v>
      </c>
      <c r="J728" s="74"/>
      <c r="K728" s="74"/>
    </row>
    <row r="729" spans="1:11" ht="15.75">
      <c r="A729" s="61"/>
      <c r="B729" s="62"/>
      <c r="C729" s="29" t="s">
        <v>1048</v>
      </c>
      <c r="D729" s="49" t="s">
        <v>43</v>
      </c>
      <c r="E729" s="50">
        <v>1</v>
      </c>
      <c r="F729" s="125">
        <v>40000</v>
      </c>
      <c r="G729" s="125">
        <f t="shared" si="30"/>
        <v>40000</v>
      </c>
      <c r="H729" s="106"/>
      <c r="J729" s="74"/>
      <c r="K729" s="74"/>
    </row>
    <row r="730" spans="1:11" ht="15.75">
      <c r="A730" s="61"/>
      <c r="B730" s="62"/>
      <c r="C730" s="29" t="s">
        <v>1013</v>
      </c>
      <c r="D730" s="49" t="s">
        <v>43</v>
      </c>
      <c r="E730" s="50">
        <v>1</v>
      </c>
      <c r="F730" s="125">
        <v>600000</v>
      </c>
      <c r="G730" s="125">
        <f t="shared" si="30"/>
        <v>600000</v>
      </c>
      <c r="H730" s="106"/>
      <c r="J730" s="74"/>
      <c r="K730" s="74"/>
    </row>
    <row r="731" spans="1:11" ht="15.75">
      <c r="A731" s="42"/>
      <c r="B731" s="43" t="s">
        <v>5</v>
      </c>
      <c r="C731" s="44"/>
      <c r="D731" s="45"/>
      <c r="E731" s="46"/>
      <c r="F731" s="133"/>
      <c r="G731" s="156">
        <f>SUM(G717:G730)</f>
        <v>2268660356.4</v>
      </c>
      <c r="H731" s="261"/>
      <c r="J731" s="74"/>
      <c r="K731" s="74"/>
    </row>
    <row r="732" spans="1:11" ht="61.5" customHeight="1">
      <c r="A732" s="54">
        <v>46</v>
      </c>
      <c r="B732" s="55" t="s">
        <v>581</v>
      </c>
      <c r="C732" s="56" t="s">
        <v>655</v>
      </c>
      <c r="D732" s="37" t="s">
        <v>20</v>
      </c>
      <c r="E732" s="57">
        <v>148.5</v>
      </c>
      <c r="F732" s="125"/>
      <c r="G732" s="125"/>
      <c r="H732" s="285" t="s">
        <v>277</v>
      </c>
      <c r="J732" s="74"/>
      <c r="K732" s="74"/>
    </row>
    <row r="733" spans="1:11" ht="55.5" customHeight="1">
      <c r="A733" s="54"/>
      <c r="B733" s="30" t="s">
        <v>973</v>
      </c>
      <c r="C733" s="29" t="s">
        <v>195</v>
      </c>
      <c r="D733" s="37"/>
      <c r="E733" s="84"/>
      <c r="F733" s="125"/>
      <c r="G733" s="125"/>
      <c r="H733" s="105"/>
      <c r="J733" s="74"/>
      <c r="K733" s="74"/>
    </row>
    <row r="734" spans="1:11" ht="110.25" customHeight="1">
      <c r="A734" s="54"/>
      <c r="B734" s="62" t="s">
        <v>278</v>
      </c>
      <c r="C734" s="29" t="s">
        <v>799</v>
      </c>
      <c r="D734" s="37" t="s">
        <v>20</v>
      </c>
      <c r="E734" s="84">
        <v>108</v>
      </c>
      <c r="F734" s="125">
        <v>5102000</v>
      </c>
      <c r="G734" s="125">
        <f>F734*E734</f>
        <v>551016000</v>
      </c>
      <c r="H734" s="105"/>
      <c r="J734" s="74"/>
      <c r="K734" s="74"/>
    </row>
    <row r="735" spans="1:11" ht="110.25">
      <c r="A735" s="54"/>
      <c r="B735" s="55"/>
      <c r="C735" s="48" t="s">
        <v>944</v>
      </c>
      <c r="D735" s="37" t="s">
        <v>20</v>
      </c>
      <c r="E735" s="84">
        <v>40.5</v>
      </c>
      <c r="F735" s="125">
        <v>2551000</v>
      </c>
      <c r="G735" s="125">
        <f>F735*E735</f>
        <v>103315500</v>
      </c>
      <c r="H735" s="105"/>
      <c r="J735" s="74"/>
      <c r="K735" s="74"/>
    </row>
    <row r="736" spans="1:11" ht="78.75">
      <c r="A736" s="61"/>
      <c r="B736" s="62"/>
      <c r="C736" s="30" t="s">
        <v>580</v>
      </c>
      <c r="D736" s="37" t="s">
        <v>20</v>
      </c>
      <c r="E736" s="60">
        <f>(4.4*6.35)+(10.7*6)</f>
        <v>92.13999999999999</v>
      </c>
      <c r="F736" s="130">
        <v>3230000</v>
      </c>
      <c r="G736" s="125">
        <f>F736*E736</f>
        <v>297612199.99999994</v>
      </c>
      <c r="H736" s="106"/>
      <c r="J736" s="74"/>
      <c r="K736" s="74"/>
    </row>
    <row r="737" spans="1:11" ht="21.75" customHeight="1">
      <c r="A737" s="61"/>
      <c r="B737" s="30"/>
      <c r="C737" s="48" t="s">
        <v>25</v>
      </c>
      <c r="D737" s="37" t="s">
        <v>32</v>
      </c>
      <c r="E737" s="50">
        <f>(((4.1+7.5+3.2)*2.5)*0.1)+(((2.7+8.55)*3)*0.1)+(3.6*0.3*0.1)</f>
        <v>7.183</v>
      </c>
      <c r="F737" s="125">
        <v>1250000</v>
      </c>
      <c r="G737" s="125">
        <f aca="true" t="shared" si="31" ref="G737:G763">F737*E737</f>
        <v>8978750</v>
      </c>
      <c r="H737" s="106"/>
      <c r="J737" s="74"/>
      <c r="K737" s="74"/>
    </row>
    <row r="738" spans="1:11" ht="18.75">
      <c r="A738" s="61"/>
      <c r="B738" s="62"/>
      <c r="C738" s="29" t="s">
        <v>26</v>
      </c>
      <c r="D738" s="37" t="s">
        <v>20</v>
      </c>
      <c r="E738" s="50">
        <f>(((4.1+7.5+3.2)*2.5)*2*2)+(((2.7+8.55)*3)*2)+(3.6*0.3)</f>
        <v>216.58</v>
      </c>
      <c r="F738" s="130">
        <v>82000</v>
      </c>
      <c r="G738" s="125">
        <f t="shared" si="31"/>
        <v>17759560</v>
      </c>
      <c r="H738" s="106"/>
      <c r="J738" s="74"/>
      <c r="K738" s="74"/>
    </row>
    <row r="739" spans="1:11" ht="31.5">
      <c r="A739" s="61"/>
      <c r="B739" s="62"/>
      <c r="C739" s="29" t="s">
        <v>279</v>
      </c>
      <c r="D739" s="37" t="s">
        <v>20</v>
      </c>
      <c r="E739" s="50">
        <f>(4.56*6)+(1.6*6.35)+(3*3)</f>
        <v>46.519999999999996</v>
      </c>
      <c r="F739" s="130">
        <v>498000</v>
      </c>
      <c r="G739" s="125">
        <f t="shared" si="31"/>
        <v>23166959.999999996</v>
      </c>
      <c r="H739" s="106"/>
      <c r="J739" s="74"/>
      <c r="K739" s="74"/>
    </row>
    <row r="740" spans="1:11" ht="18.75">
      <c r="A740" s="61"/>
      <c r="B740" s="62"/>
      <c r="C740" s="29" t="s">
        <v>28</v>
      </c>
      <c r="D740" s="37" t="s">
        <v>20</v>
      </c>
      <c r="E740" s="50">
        <f>1.55*2.7</f>
        <v>4.1850000000000005</v>
      </c>
      <c r="F740" s="125">
        <v>85000</v>
      </c>
      <c r="G740" s="125">
        <f t="shared" si="31"/>
        <v>355725.00000000006</v>
      </c>
      <c r="H740" s="106" t="s">
        <v>187</v>
      </c>
      <c r="J740" s="74"/>
      <c r="K740" s="74"/>
    </row>
    <row r="741" spans="1:11" ht="18.75">
      <c r="A741" s="61"/>
      <c r="B741" s="62"/>
      <c r="C741" s="29" t="s">
        <v>280</v>
      </c>
      <c r="D741" s="37" t="s">
        <v>20</v>
      </c>
      <c r="E741" s="50">
        <f>1.6*2.6</f>
        <v>4.16</v>
      </c>
      <c r="F741" s="125">
        <v>928000</v>
      </c>
      <c r="G741" s="125">
        <f t="shared" si="31"/>
        <v>3860480</v>
      </c>
      <c r="H741" s="106"/>
      <c r="J741" s="74"/>
      <c r="K741" s="74"/>
    </row>
    <row r="742" spans="1:11" ht="18.75">
      <c r="A742" s="61"/>
      <c r="B742" s="62"/>
      <c r="C742" s="29" t="s">
        <v>27</v>
      </c>
      <c r="D742" s="37" t="s">
        <v>32</v>
      </c>
      <c r="E742" s="50">
        <f>((0.4*0.4*3)*2+(0.3*0.3*3))</f>
        <v>1.2300000000000002</v>
      </c>
      <c r="F742" s="125">
        <f>1854000</f>
        <v>1854000</v>
      </c>
      <c r="G742" s="125">
        <f t="shared" si="31"/>
        <v>2280420.0000000005</v>
      </c>
      <c r="H742" s="106"/>
      <c r="J742" s="74"/>
      <c r="K742" s="74"/>
    </row>
    <row r="743" spans="1:11" ht="18.75">
      <c r="A743" s="61"/>
      <c r="B743" s="62"/>
      <c r="C743" s="29" t="s">
        <v>281</v>
      </c>
      <c r="D743" s="37" t="s">
        <v>20</v>
      </c>
      <c r="E743" s="50">
        <f>3*2.9</f>
        <v>8.7</v>
      </c>
      <c r="F743" s="125">
        <v>240000</v>
      </c>
      <c r="G743" s="125">
        <f t="shared" si="31"/>
        <v>2087999.9999999998</v>
      </c>
      <c r="H743" s="106"/>
      <c r="J743" s="74"/>
      <c r="K743" s="74"/>
    </row>
    <row r="744" spans="1:11" ht="18.75">
      <c r="A744" s="61"/>
      <c r="B744" s="62"/>
      <c r="C744" s="29" t="s">
        <v>282</v>
      </c>
      <c r="D744" s="37" t="s">
        <v>20</v>
      </c>
      <c r="E744" s="50">
        <f>(2.7+8.55)*1.6</f>
        <v>18</v>
      </c>
      <c r="F744" s="125">
        <v>325000</v>
      </c>
      <c r="G744" s="125">
        <f t="shared" si="31"/>
        <v>5850000</v>
      </c>
      <c r="H744" s="106"/>
      <c r="J744" s="74"/>
      <c r="K744" s="74"/>
    </row>
    <row r="745" spans="1:11" ht="31.5">
      <c r="A745" s="61"/>
      <c r="B745" s="62"/>
      <c r="C745" s="29" t="s">
        <v>858</v>
      </c>
      <c r="D745" s="37" t="s">
        <v>32</v>
      </c>
      <c r="E745" s="60">
        <f>(3.14*0.25*3)*3</f>
        <v>7.0649999999999995</v>
      </c>
      <c r="F745" s="130">
        <f>1684000</f>
        <v>1684000</v>
      </c>
      <c r="G745" s="125">
        <f t="shared" si="31"/>
        <v>11897460</v>
      </c>
      <c r="H745" s="106" t="s">
        <v>582</v>
      </c>
      <c r="J745" s="74"/>
      <c r="K745" s="74"/>
    </row>
    <row r="746" spans="1:11" ht="15.75">
      <c r="A746" s="61"/>
      <c r="B746" s="62"/>
      <c r="C746" s="29" t="s">
        <v>836</v>
      </c>
      <c r="D746" s="64" t="s">
        <v>210</v>
      </c>
      <c r="E746" s="50">
        <v>40</v>
      </c>
      <c r="F746" s="125">
        <v>13640</v>
      </c>
      <c r="G746" s="125">
        <f t="shared" si="31"/>
        <v>545600</v>
      </c>
      <c r="H746" s="105" t="s">
        <v>903</v>
      </c>
      <c r="J746" s="74"/>
      <c r="K746" s="74"/>
    </row>
    <row r="747" spans="1:11" ht="44.25" customHeight="1">
      <c r="A747" s="61"/>
      <c r="B747" s="62"/>
      <c r="C747" s="29" t="s">
        <v>1157</v>
      </c>
      <c r="D747" s="37" t="s">
        <v>20</v>
      </c>
      <c r="E747" s="50">
        <f>1.1*4.2</f>
        <v>4.620000000000001</v>
      </c>
      <c r="F747" s="125">
        <v>498000</v>
      </c>
      <c r="G747" s="125">
        <f t="shared" si="31"/>
        <v>2300760.0000000005</v>
      </c>
      <c r="H747" s="106"/>
      <c r="J747" s="74"/>
      <c r="K747" s="74"/>
    </row>
    <row r="748" spans="1:11" ht="15.75">
      <c r="A748" s="61"/>
      <c r="B748" s="62"/>
      <c r="C748" s="29" t="s">
        <v>859</v>
      </c>
      <c r="D748" s="64" t="s">
        <v>210</v>
      </c>
      <c r="E748" s="50">
        <v>18</v>
      </c>
      <c r="F748" s="125">
        <v>326150</v>
      </c>
      <c r="G748" s="125">
        <f t="shared" si="31"/>
        <v>5870700</v>
      </c>
      <c r="H748" s="105" t="s">
        <v>903</v>
      </c>
      <c r="J748" s="74"/>
      <c r="K748" s="74"/>
    </row>
    <row r="749" spans="1:11" ht="18.75">
      <c r="A749" s="61"/>
      <c r="B749" s="62"/>
      <c r="C749" s="29" t="s">
        <v>283</v>
      </c>
      <c r="D749" s="37" t="s">
        <v>20</v>
      </c>
      <c r="E749" s="50">
        <f>4.56*6</f>
        <v>27.36</v>
      </c>
      <c r="F749" s="125">
        <v>85000</v>
      </c>
      <c r="G749" s="125">
        <f t="shared" si="31"/>
        <v>2325600</v>
      </c>
      <c r="H749" s="106" t="s">
        <v>187</v>
      </c>
      <c r="J749" s="74"/>
      <c r="K749" s="74"/>
    </row>
    <row r="750" spans="1:11" ht="15.75">
      <c r="A750" s="61"/>
      <c r="B750" s="62"/>
      <c r="C750" s="29" t="s">
        <v>583</v>
      </c>
      <c r="D750" s="37" t="s">
        <v>192</v>
      </c>
      <c r="E750" s="50">
        <v>1</v>
      </c>
      <c r="F750" s="125">
        <v>900000</v>
      </c>
      <c r="G750" s="125">
        <f t="shared" si="31"/>
        <v>900000</v>
      </c>
      <c r="H750" s="106" t="s">
        <v>187</v>
      </c>
      <c r="J750" s="74"/>
      <c r="K750" s="74"/>
    </row>
    <row r="751" spans="1:11" ht="15.75">
      <c r="A751" s="61"/>
      <c r="B751" s="62"/>
      <c r="C751" s="29" t="s">
        <v>860</v>
      </c>
      <c r="D751" s="49" t="s">
        <v>210</v>
      </c>
      <c r="E751" s="50">
        <v>50</v>
      </c>
      <c r="F751" s="125"/>
      <c r="G751" s="125">
        <f t="shared" si="31"/>
        <v>0</v>
      </c>
      <c r="H751" s="106"/>
      <c r="J751" s="74"/>
      <c r="K751" s="74"/>
    </row>
    <row r="752" spans="1:11" ht="15.75">
      <c r="A752" s="61"/>
      <c r="B752" s="62"/>
      <c r="C752" s="29" t="s">
        <v>833</v>
      </c>
      <c r="D752" s="49" t="s">
        <v>37</v>
      </c>
      <c r="E752" s="50">
        <v>2</v>
      </c>
      <c r="F752" s="125">
        <v>20000</v>
      </c>
      <c r="G752" s="125">
        <f t="shared" si="31"/>
        <v>40000</v>
      </c>
      <c r="H752" s="106" t="s">
        <v>187</v>
      </c>
      <c r="J752" s="74"/>
      <c r="K752" s="74"/>
    </row>
    <row r="753" spans="1:11" ht="15.75">
      <c r="A753" s="61"/>
      <c r="B753" s="62"/>
      <c r="C753" s="29" t="s">
        <v>827</v>
      </c>
      <c r="D753" s="49" t="s">
        <v>37</v>
      </c>
      <c r="E753" s="50">
        <v>2</v>
      </c>
      <c r="F753" s="125">
        <v>20000</v>
      </c>
      <c r="G753" s="125">
        <f t="shared" si="31"/>
        <v>40000</v>
      </c>
      <c r="H753" s="106" t="s">
        <v>187</v>
      </c>
      <c r="J753" s="74"/>
      <c r="K753" s="74"/>
    </row>
    <row r="754" spans="1:11" ht="15.75">
      <c r="A754" s="61"/>
      <c r="B754" s="62"/>
      <c r="C754" s="29" t="s">
        <v>829</v>
      </c>
      <c r="D754" s="49" t="s">
        <v>37</v>
      </c>
      <c r="E754" s="50">
        <v>3</v>
      </c>
      <c r="F754" s="125">
        <v>20000</v>
      </c>
      <c r="G754" s="125">
        <f t="shared" si="31"/>
        <v>60000</v>
      </c>
      <c r="H754" s="106" t="s">
        <v>187</v>
      </c>
      <c r="J754" s="74"/>
      <c r="K754" s="74"/>
    </row>
    <row r="755" spans="1:11" ht="15.75">
      <c r="A755" s="61"/>
      <c r="B755" s="62"/>
      <c r="C755" s="29" t="s">
        <v>830</v>
      </c>
      <c r="D755" s="49" t="s">
        <v>37</v>
      </c>
      <c r="E755" s="50">
        <v>5</v>
      </c>
      <c r="F755" s="125">
        <v>20000</v>
      </c>
      <c r="G755" s="125">
        <f t="shared" si="31"/>
        <v>100000</v>
      </c>
      <c r="H755" s="106" t="s">
        <v>187</v>
      </c>
      <c r="J755" s="74"/>
      <c r="K755" s="74"/>
    </row>
    <row r="756" spans="1:11" ht="15.75">
      <c r="A756" s="61"/>
      <c r="B756" s="62"/>
      <c r="C756" s="29" t="s">
        <v>831</v>
      </c>
      <c r="D756" s="49" t="s">
        <v>37</v>
      </c>
      <c r="E756" s="50">
        <v>8</v>
      </c>
      <c r="F756" s="125">
        <v>10000</v>
      </c>
      <c r="G756" s="125">
        <f t="shared" si="31"/>
        <v>80000</v>
      </c>
      <c r="H756" s="106" t="s">
        <v>187</v>
      </c>
      <c r="J756" s="74"/>
      <c r="K756" s="74"/>
    </row>
    <row r="757" spans="1:11" ht="15.75">
      <c r="A757" s="61"/>
      <c r="B757" s="62"/>
      <c r="C757" s="29" t="s">
        <v>861</v>
      </c>
      <c r="D757" s="49" t="s">
        <v>43</v>
      </c>
      <c r="E757" s="50">
        <v>1</v>
      </c>
      <c r="F757" s="125">
        <v>160000</v>
      </c>
      <c r="G757" s="125">
        <f t="shared" si="31"/>
        <v>160000</v>
      </c>
      <c r="H757" s="106"/>
      <c r="J757" s="74"/>
      <c r="K757" s="74"/>
    </row>
    <row r="758" spans="1:11" ht="18.75">
      <c r="A758" s="61"/>
      <c r="B758" s="62"/>
      <c r="C758" s="29" t="s">
        <v>177</v>
      </c>
      <c r="D758" s="37" t="s">
        <v>20</v>
      </c>
      <c r="E758" s="50">
        <v>0.5</v>
      </c>
      <c r="F758" s="125">
        <v>6000</v>
      </c>
      <c r="G758" s="125">
        <f t="shared" si="31"/>
        <v>3000</v>
      </c>
      <c r="H758" s="106"/>
      <c r="J758" s="74"/>
      <c r="K758" s="74"/>
    </row>
    <row r="759" spans="1:11" ht="18.75">
      <c r="A759" s="61"/>
      <c r="B759" s="62"/>
      <c r="C759" s="29" t="s">
        <v>1068</v>
      </c>
      <c r="D759" s="37" t="s">
        <v>20</v>
      </c>
      <c r="E759" s="50">
        <v>1</v>
      </c>
      <c r="F759" s="125">
        <v>9000</v>
      </c>
      <c r="G759" s="125">
        <f t="shared" si="31"/>
        <v>9000</v>
      </c>
      <c r="H759" s="106"/>
      <c r="J759" s="74"/>
      <c r="K759" s="74"/>
    </row>
    <row r="760" spans="1:11" ht="15.75">
      <c r="A760" s="61"/>
      <c r="B760" s="62"/>
      <c r="C760" s="29" t="s">
        <v>1069</v>
      </c>
      <c r="D760" s="49" t="s">
        <v>43</v>
      </c>
      <c r="E760" s="50">
        <v>1</v>
      </c>
      <c r="F760" s="125">
        <v>100000</v>
      </c>
      <c r="G760" s="125">
        <f t="shared" si="31"/>
        <v>100000</v>
      </c>
      <c r="H760" s="106"/>
      <c r="J760" s="74"/>
      <c r="K760" s="74"/>
    </row>
    <row r="761" spans="1:11" ht="15.75">
      <c r="A761" s="61"/>
      <c r="B761" s="62"/>
      <c r="C761" s="29" t="s">
        <v>1070</v>
      </c>
      <c r="D761" s="49" t="s">
        <v>43</v>
      </c>
      <c r="E761" s="50">
        <v>1</v>
      </c>
      <c r="F761" s="125">
        <v>140000</v>
      </c>
      <c r="G761" s="125">
        <f t="shared" si="31"/>
        <v>140000</v>
      </c>
      <c r="H761" s="106"/>
      <c r="J761" s="74"/>
      <c r="K761" s="74"/>
    </row>
    <row r="762" spans="1:11" ht="15.75">
      <c r="A762" s="61"/>
      <c r="B762" s="30"/>
      <c r="C762" s="29" t="s">
        <v>1071</v>
      </c>
      <c r="D762" s="49" t="s">
        <v>43</v>
      </c>
      <c r="E762" s="60">
        <v>1</v>
      </c>
      <c r="F762" s="125">
        <v>80000</v>
      </c>
      <c r="G762" s="125">
        <f t="shared" si="31"/>
        <v>80000</v>
      </c>
      <c r="H762" s="106"/>
      <c r="J762" s="74"/>
      <c r="K762" s="74"/>
    </row>
    <row r="763" spans="1:11" ht="15.75">
      <c r="A763" s="61"/>
      <c r="B763" s="30"/>
      <c r="C763" s="48" t="s">
        <v>1072</v>
      </c>
      <c r="D763" s="49" t="s">
        <v>43</v>
      </c>
      <c r="E763" s="60">
        <v>1</v>
      </c>
      <c r="F763" s="130">
        <v>60000</v>
      </c>
      <c r="G763" s="125">
        <f t="shared" si="31"/>
        <v>60000</v>
      </c>
      <c r="H763" s="106"/>
      <c r="J763" s="74"/>
      <c r="K763" s="74"/>
    </row>
    <row r="764" spans="1:11" ht="15.75">
      <c r="A764" s="42"/>
      <c r="B764" s="43" t="s">
        <v>5</v>
      </c>
      <c r="C764" s="44"/>
      <c r="D764" s="45"/>
      <c r="E764" s="46"/>
      <c r="F764" s="133"/>
      <c r="G764" s="156">
        <f>SUM(G732:G763)</f>
        <v>1040995715</v>
      </c>
      <c r="H764" s="261"/>
      <c r="J764" s="74"/>
      <c r="K764" s="74"/>
    </row>
    <row r="765" spans="1:11" ht="31.5">
      <c r="A765" s="54">
        <v>47</v>
      </c>
      <c r="B765" s="55" t="s">
        <v>284</v>
      </c>
      <c r="C765" s="56" t="s">
        <v>656</v>
      </c>
      <c r="D765" s="37" t="s">
        <v>20</v>
      </c>
      <c r="E765" s="57">
        <v>58.5</v>
      </c>
      <c r="F765" s="125"/>
      <c r="G765" s="125"/>
      <c r="H765" s="105"/>
      <c r="J765" s="74"/>
      <c r="K765" s="74"/>
    </row>
    <row r="766" spans="1:11" ht="47.25">
      <c r="A766" s="54"/>
      <c r="B766" s="30" t="s">
        <v>533</v>
      </c>
      <c r="C766" s="29" t="s">
        <v>195</v>
      </c>
      <c r="D766" s="37"/>
      <c r="E766" s="84"/>
      <c r="F766" s="125"/>
      <c r="G766" s="125"/>
      <c r="H766" s="105"/>
      <c r="J766" s="74"/>
      <c r="K766" s="74"/>
    </row>
    <row r="767" spans="1:11" ht="106.5" customHeight="1">
      <c r="A767" s="54"/>
      <c r="B767" s="62" t="s">
        <v>286</v>
      </c>
      <c r="C767" s="29" t="s">
        <v>814</v>
      </c>
      <c r="D767" s="37" t="s">
        <v>20</v>
      </c>
      <c r="E767" s="84">
        <v>20</v>
      </c>
      <c r="F767" s="125">
        <v>8504500</v>
      </c>
      <c r="G767" s="125">
        <f>F767*E767</f>
        <v>170090000</v>
      </c>
      <c r="H767" s="105"/>
      <c r="J767" s="74"/>
      <c r="K767" s="74"/>
    </row>
    <row r="768" spans="1:11" ht="126" customHeight="1">
      <c r="A768" s="54"/>
      <c r="B768" s="55"/>
      <c r="C768" s="48" t="s">
        <v>974</v>
      </c>
      <c r="D768" s="37" t="s">
        <v>20</v>
      </c>
      <c r="E768" s="84">
        <v>38.5</v>
      </c>
      <c r="F768" s="125">
        <v>6704500</v>
      </c>
      <c r="G768" s="125">
        <f>F768*E768</f>
        <v>258123250</v>
      </c>
      <c r="H768" s="105"/>
      <c r="J768" s="74"/>
      <c r="K768" s="74"/>
    </row>
    <row r="769" spans="1:11" ht="69.75" customHeight="1">
      <c r="A769" s="61"/>
      <c r="B769" s="62"/>
      <c r="C769" s="30" t="s">
        <v>285</v>
      </c>
      <c r="D769" s="37" t="s">
        <v>20</v>
      </c>
      <c r="E769" s="60">
        <f>5.8*8.5</f>
        <v>49.3</v>
      </c>
      <c r="F769" s="130">
        <f>3230000-(8%*3230000)-150000</f>
        <v>2821600</v>
      </c>
      <c r="G769" s="125">
        <f aca="true" t="shared" si="32" ref="G769:G774">F769*E769</f>
        <v>139104880</v>
      </c>
      <c r="H769" s="213" t="s">
        <v>764</v>
      </c>
      <c r="J769" s="74"/>
      <c r="K769" s="74"/>
    </row>
    <row r="770" spans="1:11" ht="31.5">
      <c r="A770" s="61"/>
      <c r="B770" s="30"/>
      <c r="C770" s="48" t="s">
        <v>47</v>
      </c>
      <c r="D770" s="37" t="s">
        <v>20</v>
      </c>
      <c r="E770" s="50">
        <f>2*4.8</f>
        <v>9.6</v>
      </c>
      <c r="F770" s="130">
        <v>498000</v>
      </c>
      <c r="G770" s="125">
        <f t="shared" si="32"/>
        <v>4780800</v>
      </c>
      <c r="H770" s="106"/>
      <c r="J770" s="74"/>
      <c r="K770" s="74"/>
    </row>
    <row r="771" spans="1:11" ht="15.75">
      <c r="A771" s="61"/>
      <c r="B771" s="62"/>
      <c r="C771" s="29" t="s">
        <v>875</v>
      </c>
      <c r="D771" s="49" t="s">
        <v>210</v>
      </c>
      <c r="E771" s="50">
        <v>25</v>
      </c>
      <c r="F771" s="125"/>
      <c r="G771" s="125">
        <f t="shared" si="32"/>
        <v>0</v>
      </c>
      <c r="H771" s="106"/>
      <c r="J771" s="74"/>
      <c r="K771" s="74"/>
    </row>
    <row r="772" spans="1:11" ht="31.5">
      <c r="A772" s="61"/>
      <c r="B772" s="62"/>
      <c r="C772" s="29" t="s">
        <v>862</v>
      </c>
      <c r="D772" s="37" t="s">
        <v>32</v>
      </c>
      <c r="E772" s="60">
        <f>3.14*0.25*2</f>
        <v>1.57</v>
      </c>
      <c r="F772" s="130">
        <f>1684000</f>
        <v>1684000</v>
      </c>
      <c r="G772" s="125">
        <f t="shared" si="32"/>
        <v>2643880</v>
      </c>
      <c r="H772" s="106"/>
      <c r="J772" s="74"/>
      <c r="K772" s="74"/>
    </row>
    <row r="773" spans="1:11" ht="15.75">
      <c r="A773" s="61"/>
      <c r="B773" s="62"/>
      <c r="C773" s="29" t="s">
        <v>848</v>
      </c>
      <c r="D773" s="49" t="s">
        <v>37</v>
      </c>
      <c r="E773" s="50">
        <v>5</v>
      </c>
      <c r="F773" s="125">
        <v>40000</v>
      </c>
      <c r="G773" s="125">
        <f t="shared" si="32"/>
        <v>200000</v>
      </c>
      <c r="H773" s="106" t="s">
        <v>187</v>
      </c>
      <c r="J773" s="74"/>
      <c r="K773" s="74"/>
    </row>
    <row r="774" spans="1:11" ht="15.75">
      <c r="A774" s="61"/>
      <c r="B774" s="62"/>
      <c r="C774" s="29" t="s">
        <v>847</v>
      </c>
      <c r="D774" s="49" t="s">
        <v>37</v>
      </c>
      <c r="E774" s="50">
        <v>19</v>
      </c>
      <c r="F774" s="125">
        <v>20000</v>
      </c>
      <c r="G774" s="125">
        <f t="shared" si="32"/>
        <v>380000</v>
      </c>
      <c r="H774" s="106" t="s">
        <v>187</v>
      </c>
      <c r="J774" s="74"/>
      <c r="K774" s="74"/>
    </row>
    <row r="775" spans="1:11" ht="15.75">
      <c r="A775" s="42"/>
      <c r="B775" s="43" t="s">
        <v>5</v>
      </c>
      <c r="C775" s="44"/>
      <c r="D775" s="45"/>
      <c r="E775" s="46"/>
      <c r="F775" s="133"/>
      <c r="G775" s="156">
        <f>SUM(G765:G774)</f>
        <v>575322810</v>
      </c>
      <c r="H775" s="261"/>
      <c r="J775" s="74"/>
      <c r="K775" s="74"/>
    </row>
    <row r="776" spans="1:11" ht="45">
      <c r="A776" s="54">
        <v>48</v>
      </c>
      <c r="B776" s="55" t="s">
        <v>287</v>
      </c>
      <c r="C776" s="56" t="s">
        <v>657</v>
      </c>
      <c r="D776" s="37" t="s">
        <v>20</v>
      </c>
      <c r="E776" s="57">
        <v>1494.1</v>
      </c>
      <c r="F776" s="125"/>
      <c r="G776" s="125"/>
      <c r="H776" s="105" t="s">
        <v>288</v>
      </c>
      <c r="J776" s="74"/>
      <c r="K776" s="74"/>
    </row>
    <row r="777" spans="1:11" ht="31.5">
      <c r="A777" s="54"/>
      <c r="B777" s="30" t="s">
        <v>892</v>
      </c>
      <c r="C777" s="29" t="s">
        <v>195</v>
      </c>
      <c r="D777" s="37"/>
      <c r="E777" s="84"/>
      <c r="F777" s="125"/>
      <c r="G777" s="125"/>
      <c r="H777" s="105"/>
      <c r="J777" s="74"/>
      <c r="K777" s="74"/>
    </row>
    <row r="778" spans="1:11" ht="111" customHeight="1">
      <c r="A778" s="54"/>
      <c r="B778" s="30" t="s">
        <v>602</v>
      </c>
      <c r="C778" s="29" t="s">
        <v>814</v>
      </c>
      <c r="D778" s="37" t="s">
        <v>20</v>
      </c>
      <c r="E778" s="84">
        <v>1494.1</v>
      </c>
      <c r="F778" s="125">
        <v>8504500</v>
      </c>
      <c r="G778" s="125">
        <f>F778*E778</f>
        <v>12706573450</v>
      </c>
      <c r="H778" s="105"/>
      <c r="J778" s="74"/>
      <c r="K778" s="74"/>
    </row>
    <row r="779" spans="1:11" ht="31.5">
      <c r="A779" s="54"/>
      <c r="B779" s="62"/>
      <c r="C779" s="29" t="s">
        <v>658</v>
      </c>
      <c r="D779" s="37" t="s">
        <v>20</v>
      </c>
      <c r="E779" s="84">
        <v>345.7</v>
      </c>
      <c r="F779" s="125"/>
      <c r="G779" s="125"/>
      <c r="H779" s="105"/>
      <c r="J779" s="74"/>
      <c r="K779" s="74"/>
    </row>
    <row r="780" spans="1:11" ht="15.75">
      <c r="A780" s="54"/>
      <c r="B780" s="55"/>
      <c r="C780" s="29" t="s">
        <v>195</v>
      </c>
      <c r="D780" s="37"/>
      <c r="E780" s="84"/>
      <c r="F780" s="125"/>
      <c r="G780" s="125"/>
      <c r="H780" s="105"/>
      <c r="J780" s="74"/>
      <c r="K780" s="74"/>
    </row>
    <row r="781" spans="1:11" ht="31.5">
      <c r="A781" s="54"/>
      <c r="B781" s="55"/>
      <c r="C781" s="48" t="s">
        <v>953</v>
      </c>
      <c r="D781" s="37" t="s">
        <v>20</v>
      </c>
      <c r="E781" s="84">
        <v>345.7</v>
      </c>
      <c r="F781" s="125">
        <v>1841000</v>
      </c>
      <c r="G781" s="125">
        <f aca="true" t="shared" si="33" ref="G781:G787">F781*E781</f>
        <v>636433700</v>
      </c>
      <c r="H781" s="105"/>
      <c r="J781" s="74"/>
      <c r="K781" s="74"/>
    </row>
    <row r="782" spans="1:11" ht="31.5">
      <c r="A782" s="54"/>
      <c r="B782" s="55"/>
      <c r="C782" s="29" t="s">
        <v>659</v>
      </c>
      <c r="D782" s="37" t="s">
        <v>20</v>
      </c>
      <c r="E782" s="84">
        <v>15.7</v>
      </c>
      <c r="F782" s="125"/>
      <c r="G782" s="125"/>
      <c r="H782" s="105"/>
      <c r="J782" s="74"/>
      <c r="K782" s="74"/>
    </row>
    <row r="783" spans="1:11" ht="21" customHeight="1">
      <c r="A783" s="54"/>
      <c r="B783" s="55"/>
      <c r="C783" s="29" t="s">
        <v>195</v>
      </c>
      <c r="D783" s="37"/>
      <c r="E783" s="84"/>
      <c r="F783" s="125"/>
      <c r="G783" s="125"/>
      <c r="H783" s="105"/>
      <c r="J783" s="74"/>
      <c r="K783" s="74"/>
    </row>
    <row r="784" spans="1:11" ht="31.5">
      <c r="A784" s="54"/>
      <c r="B784" s="55"/>
      <c r="C784" s="48" t="s">
        <v>953</v>
      </c>
      <c r="D784" s="37" t="s">
        <v>20</v>
      </c>
      <c r="E784" s="84">
        <v>15.7</v>
      </c>
      <c r="F784" s="125">
        <v>1841000</v>
      </c>
      <c r="G784" s="125">
        <f t="shared" si="33"/>
        <v>28903700</v>
      </c>
      <c r="H784" s="105"/>
      <c r="J784" s="74"/>
      <c r="K784" s="74"/>
    </row>
    <row r="785" spans="1:11" ht="31.5">
      <c r="A785" s="54"/>
      <c r="B785" s="55"/>
      <c r="C785" s="29" t="s">
        <v>660</v>
      </c>
      <c r="D785" s="37" t="s">
        <v>20</v>
      </c>
      <c r="E785" s="84">
        <v>39</v>
      </c>
      <c r="F785" s="125"/>
      <c r="G785" s="125"/>
      <c r="H785" s="105"/>
      <c r="J785" s="74"/>
      <c r="K785" s="74"/>
    </row>
    <row r="786" spans="1:11" ht="15.75">
      <c r="A786" s="54"/>
      <c r="B786" s="55"/>
      <c r="C786" s="29" t="s">
        <v>195</v>
      </c>
      <c r="D786" s="37"/>
      <c r="E786" s="84"/>
      <c r="F786" s="125"/>
      <c r="G786" s="125"/>
      <c r="H786" s="105"/>
      <c r="J786" s="74"/>
      <c r="K786" s="74"/>
    </row>
    <row r="787" spans="1:11" ht="31.5">
      <c r="A787" s="54"/>
      <c r="B787" s="55"/>
      <c r="C787" s="48" t="s">
        <v>953</v>
      </c>
      <c r="D787" s="37" t="s">
        <v>20</v>
      </c>
      <c r="E787" s="84">
        <v>39</v>
      </c>
      <c r="F787" s="125">
        <v>1841000</v>
      </c>
      <c r="G787" s="125">
        <f t="shared" si="33"/>
        <v>71799000</v>
      </c>
      <c r="H787" s="105"/>
      <c r="J787" s="74"/>
      <c r="K787" s="74"/>
    </row>
    <row r="788" spans="1:11" ht="18.75">
      <c r="A788" s="61"/>
      <c r="B788" s="62"/>
      <c r="C788" s="30" t="s">
        <v>36</v>
      </c>
      <c r="D788" s="37" t="s">
        <v>20</v>
      </c>
      <c r="E788" s="60">
        <f>(2.8*8.5)+(3.7*2.3)+(6*3)+(1.8*4)</f>
        <v>57.51</v>
      </c>
      <c r="F788" s="125">
        <v>125000</v>
      </c>
      <c r="G788" s="125">
        <f>F788*E788</f>
        <v>7188750</v>
      </c>
      <c r="H788" s="106"/>
      <c r="J788" s="74"/>
      <c r="K788" s="74"/>
    </row>
    <row r="789" spans="1:11" ht="18.75">
      <c r="A789" s="61"/>
      <c r="B789" s="30"/>
      <c r="C789" s="48" t="s">
        <v>263</v>
      </c>
      <c r="D789" s="37" t="s">
        <v>20</v>
      </c>
      <c r="E789" s="50">
        <f>(4.2*2.2)+(8.5*8.5)+(6.4*3.2)</f>
        <v>101.97000000000001</v>
      </c>
      <c r="F789" s="125">
        <v>125000</v>
      </c>
      <c r="G789" s="125">
        <f aca="true" t="shared" si="34" ref="G789:G807">F789*E789</f>
        <v>12746250.000000002</v>
      </c>
      <c r="H789" s="106"/>
      <c r="J789" s="74"/>
      <c r="K789" s="74"/>
    </row>
    <row r="790" spans="1:11" ht="18.75">
      <c r="A790" s="61"/>
      <c r="B790" s="62"/>
      <c r="C790" s="29" t="s">
        <v>25</v>
      </c>
      <c r="D790" s="37" t="s">
        <v>32</v>
      </c>
      <c r="E790" s="50">
        <f>(((6.85+6.85+3.75)*3.5)*0.1)+(3*3*0.1)+((0.8*0.5*0.1)*6)+(3.8*1.1*0.1)+((0.3*0.2*3)*2)+(((30.8+9)*0.4)*0.1)+((14*0.3*0.1)*2)+((24*0.5*0.1)*2)+(((4.2+4.2+6.6)*3)*0.1)</f>
        <v>17.3575</v>
      </c>
      <c r="F790" s="125">
        <v>1250000</v>
      </c>
      <c r="G790" s="125">
        <f t="shared" si="34"/>
        <v>21696875.000000004</v>
      </c>
      <c r="H790" s="106"/>
      <c r="J790" s="74"/>
      <c r="K790" s="74"/>
    </row>
    <row r="791" spans="1:11" ht="18.75">
      <c r="A791" s="61"/>
      <c r="B791" s="62"/>
      <c r="C791" s="29" t="s">
        <v>289</v>
      </c>
      <c r="D791" s="37" t="s">
        <v>20</v>
      </c>
      <c r="E791" s="50">
        <f>(3*0.5)+(1.2*1.2)</f>
        <v>2.94</v>
      </c>
      <c r="F791" s="125">
        <v>57000</v>
      </c>
      <c r="G791" s="125">
        <f t="shared" si="34"/>
        <v>167580</v>
      </c>
      <c r="H791" s="106" t="s">
        <v>187</v>
      </c>
      <c r="J791" s="74"/>
      <c r="K791" s="74"/>
    </row>
    <row r="792" spans="1:11" ht="18.75">
      <c r="A792" s="61"/>
      <c r="B792" s="62"/>
      <c r="C792" s="29" t="s">
        <v>26</v>
      </c>
      <c r="D792" s="37" t="s">
        <v>20</v>
      </c>
      <c r="E792" s="50">
        <f>3.8*1.1</f>
        <v>4.18</v>
      </c>
      <c r="F792" s="130">
        <v>82000</v>
      </c>
      <c r="G792" s="125">
        <f t="shared" si="34"/>
        <v>342760</v>
      </c>
      <c r="H792" s="106"/>
      <c r="J792" s="74"/>
      <c r="K792" s="74"/>
    </row>
    <row r="793" spans="1:11" ht="18.75">
      <c r="A793" s="61"/>
      <c r="B793" s="62"/>
      <c r="C793" s="29" t="s">
        <v>168</v>
      </c>
      <c r="D793" s="37" t="s">
        <v>20</v>
      </c>
      <c r="E793" s="50">
        <f>(3*0.5)+(1.2*1.2)</f>
        <v>2.94</v>
      </c>
      <c r="F793" s="125">
        <v>364000</v>
      </c>
      <c r="G793" s="125">
        <f t="shared" si="34"/>
        <v>1070160</v>
      </c>
      <c r="H793" s="106"/>
      <c r="J793" s="74"/>
      <c r="K793" s="74"/>
    </row>
    <row r="794" spans="1:11" ht="31.5">
      <c r="A794" s="61"/>
      <c r="B794" s="62"/>
      <c r="C794" s="29" t="s">
        <v>271</v>
      </c>
      <c r="D794" s="37" t="s">
        <v>20</v>
      </c>
      <c r="E794" s="50">
        <f>(11.22+20.05)*1.5</f>
        <v>46.905</v>
      </c>
      <c r="F794" s="125">
        <v>110000</v>
      </c>
      <c r="G794" s="125">
        <f t="shared" si="34"/>
        <v>5159550</v>
      </c>
      <c r="H794" s="106"/>
      <c r="J794" s="74"/>
      <c r="K794" s="74"/>
    </row>
    <row r="795" spans="1:11" ht="15.75">
      <c r="A795" s="61"/>
      <c r="B795" s="62"/>
      <c r="C795" s="29" t="s">
        <v>1073</v>
      </c>
      <c r="D795" s="49" t="s">
        <v>43</v>
      </c>
      <c r="E795" s="50">
        <v>1</v>
      </c>
      <c r="F795" s="125">
        <v>60000</v>
      </c>
      <c r="G795" s="125">
        <f t="shared" si="34"/>
        <v>60000</v>
      </c>
      <c r="H795" s="106"/>
      <c r="J795" s="74"/>
      <c r="K795" s="74"/>
    </row>
    <row r="796" spans="1:11" ht="15.75">
      <c r="A796" s="61"/>
      <c r="B796" s="62"/>
      <c r="C796" s="29" t="s">
        <v>1074</v>
      </c>
      <c r="D796" s="49" t="s">
        <v>43</v>
      </c>
      <c r="E796" s="50">
        <v>1</v>
      </c>
      <c r="F796" s="125">
        <v>160000</v>
      </c>
      <c r="G796" s="125">
        <f t="shared" si="34"/>
        <v>160000</v>
      </c>
      <c r="H796" s="106"/>
      <c r="J796" s="74"/>
      <c r="K796" s="74"/>
    </row>
    <row r="797" spans="1:11" ht="15.75">
      <c r="A797" s="61"/>
      <c r="B797" s="62"/>
      <c r="C797" s="29" t="s">
        <v>1075</v>
      </c>
      <c r="D797" s="49" t="s">
        <v>43</v>
      </c>
      <c r="E797" s="50">
        <v>1</v>
      </c>
      <c r="F797" s="125">
        <v>600000</v>
      </c>
      <c r="G797" s="125">
        <f t="shared" si="34"/>
        <v>600000</v>
      </c>
      <c r="H797" s="106"/>
      <c r="J797" s="74"/>
      <c r="K797" s="74"/>
    </row>
    <row r="798" spans="1:11" ht="15.75">
      <c r="A798" s="61"/>
      <c r="B798" s="62"/>
      <c r="C798" s="29" t="s">
        <v>863</v>
      </c>
      <c r="D798" s="49" t="s">
        <v>43</v>
      </c>
      <c r="E798" s="50">
        <v>1</v>
      </c>
      <c r="F798" s="125">
        <v>1200000</v>
      </c>
      <c r="G798" s="125">
        <f t="shared" si="34"/>
        <v>1200000</v>
      </c>
      <c r="H798" s="106"/>
      <c r="J798" s="74"/>
      <c r="K798" s="74"/>
    </row>
    <row r="799" spans="1:11" ht="15.75">
      <c r="A799" s="61"/>
      <c r="B799" s="62"/>
      <c r="C799" s="29" t="s">
        <v>1076</v>
      </c>
      <c r="D799" s="49" t="s">
        <v>43</v>
      </c>
      <c r="E799" s="50">
        <v>1</v>
      </c>
      <c r="F799" s="125">
        <v>600000</v>
      </c>
      <c r="G799" s="125">
        <f t="shared" si="34"/>
        <v>600000</v>
      </c>
      <c r="H799" s="106"/>
      <c r="J799" s="74"/>
      <c r="K799" s="74"/>
    </row>
    <row r="800" spans="1:11" ht="15.75">
      <c r="A800" s="61"/>
      <c r="B800" s="62"/>
      <c r="C800" s="29" t="s">
        <v>998</v>
      </c>
      <c r="D800" s="49" t="s">
        <v>43</v>
      </c>
      <c r="E800" s="50">
        <v>2</v>
      </c>
      <c r="F800" s="125">
        <v>150000</v>
      </c>
      <c r="G800" s="125">
        <f t="shared" si="34"/>
        <v>300000</v>
      </c>
      <c r="H800" s="106"/>
      <c r="J800" s="74"/>
      <c r="K800" s="74"/>
    </row>
    <row r="801" spans="1:11" ht="15.75">
      <c r="A801" s="61"/>
      <c r="B801" s="62"/>
      <c r="C801" s="29" t="s">
        <v>864</v>
      </c>
      <c r="D801" s="49" t="s">
        <v>43</v>
      </c>
      <c r="E801" s="50">
        <v>1</v>
      </c>
      <c r="F801" s="125">
        <v>160000</v>
      </c>
      <c r="G801" s="125">
        <f t="shared" si="34"/>
        <v>160000</v>
      </c>
      <c r="H801" s="106"/>
      <c r="J801" s="74"/>
      <c r="K801" s="74"/>
    </row>
    <row r="802" spans="1:11" ht="15.75">
      <c r="A802" s="61"/>
      <c r="B802" s="62"/>
      <c r="C802" s="29" t="s">
        <v>1077</v>
      </c>
      <c r="D802" s="49" t="s">
        <v>43</v>
      </c>
      <c r="E802" s="50">
        <v>4</v>
      </c>
      <c r="F802" s="125">
        <v>150000</v>
      </c>
      <c r="G802" s="125">
        <f t="shared" si="34"/>
        <v>600000</v>
      </c>
      <c r="H802" s="106"/>
      <c r="J802" s="74"/>
      <c r="K802" s="74"/>
    </row>
    <row r="803" spans="1:11" ht="15.75">
      <c r="A803" s="61"/>
      <c r="B803" s="62"/>
      <c r="C803" s="29" t="s">
        <v>865</v>
      </c>
      <c r="D803" s="49" t="s">
        <v>43</v>
      </c>
      <c r="E803" s="50">
        <v>2</v>
      </c>
      <c r="F803" s="125">
        <v>160000</v>
      </c>
      <c r="G803" s="125">
        <f t="shared" si="34"/>
        <v>320000</v>
      </c>
      <c r="H803" s="106"/>
      <c r="J803" s="74"/>
      <c r="K803" s="74"/>
    </row>
    <row r="804" spans="1:11" ht="15.75">
      <c r="A804" s="61"/>
      <c r="B804" s="62"/>
      <c r="C804" s="29" t="s">
        <v>1029</v>
      </c>
      <c r="D804" s="49" t="s">
        <v>43</v>
      </c>
      <c r="E804" s="50">
        <v>2</v>
      </c>
      <c r="F804" s="125">
        <v>300000</v>
      </c>
      <c r="G804" s="125">
        <f t="shared" si="34"/>
        <v>600000</v>
      </c>
      <c r="H804" s="106"/>
      <c r="J804" s="74"/>
      <c r="K804" s="74"/>
    </row>
    <row r="805" spans="1:11" ht="15.75">
      <c r="A805" s="61"/>
      <c r="B805" s="62"/>
      <c r="C805" s="29" t="s">
        <v>1078</v>
      </c>
      <c r="D805" s="49" t="s">
        <v>43</v>
      </c>
      <c r="E805" s="50">
        <v>1</v>
      </c>
      <c r="F805" s="125">
        <v>300000</v>
      </c>
      <c r="G805" s="125">
        <f t="shared" si="34"/>
        <v>300000</v>
      </c>
      <c r="H805" s="106"/>
      <c r="J805" s="74"/>
      <c r="K805" s="74"/>
    </row>
    <row r="806" spans="1:11" ht="15.75">
      <c r="A806" s="61"/>
      <c r="B806" s="62"/>
      <c r="C806" s="29" t="s">
        <v>1079</v>
      </c>
      <c r="D806" s="49" t="s">
        <v>43</v>
      </c>
      <c r="E806" s="50">
        <v>1</v>
      </c>
      <c r="F806" s="125">
        <v>300000</v>
      </c>
      <c r="G806" s="125">
        <f t="shared" si="34"/>
        <v>300000</v>
      </c>
      <c r="H806" s="106"/>
      <c r="J806" s="74"/>
      <c r="K806" s="74"/>
    </row>
    <row r="807" spans="1:11" ht="15.75">
      <c r="A807" s="61"/>
      <c r="B807" s="62"/>
      <c r="C807" s="29" t="s">
        <v>1080</v>
      </c>
      <c r="D807" s="49" t="s">
        <v>43</v>
      </c>
      <c r="E807" s="50">
        <v>1</v>
      </c>
      <c r="F807" s="125">
        <v>60000</v>
      </c>
      <c r="G807" s="125">
        <f t="shared" si="34"/>
        <v>60000</v>
      </c>
      <c r="H807" s="106"/>
      <c r="J807" s="74"/>
      <c r="K807" s="74"/>
    </row>
    <row r="808" spans="1:11" ht="15.75">
      <c r="A808" s="61"/>
      <c r="B808" s="30"/>
      <c r="C808" s="29" t="s">
        <v>1081</v>
      </c>
      <c r="D808" s="49" t="s">
        <v>43</v>
      </c>
      <c r="E808" s="60">
        <v>3</v>
      </c>
      <c r="F808" s="125">
        <v>60000</v>
      </c>
      <c r="G808" s="125">
        <f>F808*E808</f>
        <v>180000</v>
      </c>
      <c r="H808" s="106"/>
      <c r="J808" s="74"/>
      <c r="K808" s="74"/>
    </row>
    <row r="809" spans="1:11" ht="15.75">
      <c r="A809" s="42"/>
      <c r="B809" s="43" t="s">
        <v>5</v>
      </c>
      <c r="C809" s="44"/>
      <c r="D809" s="45"/>
      <c r="E809" s="46"/>
      <c r="F809" s="133"/>
      <c r="G809" s="156">
        <f>SUM(G776:G808)</f>
        <v>13497521775</v>
      </c>
      <c r="H809" s="261"/>
      <c r="J809" s="74"/>
      <c r="K809" s="74"/>
    </row>
    <row r="810" spans="1:11" ht="21.75" customHeight="1">
      <c r="A810" s="54">
        <v>49</v>
      </c>
      <c r="B810" s="55" t="s">
        <v>290</v>
      </c>
      <c r="C810" s="243" t="s">
        <v>291</v>
      </c>
      <c r="D810" s="49"/>
      <c r="E810" s="57"/>
      <c r="F810" s="134"/>
      <c r="G810" s="154"/>
      <c r="H810" s="259"/>
      <c r="J810" s="74"/>
      <c r="K810" s="74"/>
    </row>
    <row r="811" spans="1:11" ht="47.25">
      <c r="A811" s="54"/>
      <c r="B811" s="62" t="s">
        <v>17</v>
      </c>
      <c r="C811" s="30" t="s">
        <v>292</v>
      </c>
      <c r="D811" s="37" t="s">
        <v>20</v>
      </c>
      <c r="E811" s="60">
        <f>4.8*8.2</f>
        <v>39.35999999999999</v>
      </c>
      <c r="F811" s="130">
        <v>821000</v>
      </c>
      <c r="G811" s="125">
        <f>F811*E811</f>
        <v>32314559.999999993</v>
      </c>
      <c r="H811" s="105"/>
      <c r="J811" s="74"/>
      <c r="K811" s="74"/>
    </row>
    <row r="812" spans="1:11" ht="37.5" customHeight="1">
      <c r="A812" s="54"/>
      <c r="B812" s="30" t="s">
        <v>525</v>
      </c>
      <c r="C812" s="29" t="s">
        <v>293</v>
      </c>
      <c r="D812" s="37" t="s">
        <v>20</v>
      </c>
      <c r="E812" s="84">
        <f>3.3*2</f>
        <v>6.6</v>
      </c>
      <c r="F812" s="125">
        <v>150000</v>
      </c>
      <c r="G812" s="125">
        <f>F812*E812</f>
        <v>990000</v>
      </c>
      <c r="H812" s="105"/>
      <c r="J812" s="74"/>
      <c r="K812" s="74"/>
    </row>
    <row r="813" spans="1:11" ht="21" customHeight="1">
      <c r="A813" s="54"/>
      <c r="B813" s="62" t="s">
        <v>294</v>
      </c>
      <c r="C813" s="29" t="s">
        <v>882</v>
      </c>
      <c r="D813" s="64" t="s">
        <v>210</v>
      </c>
      <c r="E813" s="50">
        <v>20</v>
      </c>
      <c r="F813" s="125">
        <v>13640</v>
      </c>
      <c r="G813" s="125">
        <f>F813*E813</f>
        <v>272800</v>
      </c>
      <c r="H813" s="105" t="s">
        <v>903</v>
      </c>
      <c r="J813" s="74"/>
      <c r="K813" s="74"/>
    </row>
    <row r="814" spans="1:11" ht="15.75">
      <c r="A814" s="42"/>
      <c r="B814" s="43" t="s">
        <v>5</v>
      </c>
      <c r="C814" s="44"/>
      <c r="D814" s="45"/>
      <c r="E814" s="46"/>
      <c r="F814" s="133"/>
      <c r="G814" s="124">
        <f>SUM(G810:G813)</f>
        <v>33577359.99999999</v>
      </c>
      <c r="H814" s="261"/>
      <c r="J814" s="74"/>
      <c r="K814" s="74"/>
    </row>
    <row r="815" spans="1:11" ht="47.25">
      <c r="A815" s="54">
        <v>50</v>
      </c>
      <c r="B815" s="55" t="s">
        <v>1158</v>
      </c>
      <c r="C815" s="29" t="s">
        <v>975</v>
      </c>
      <c r="D815" s="37" t="s">
        <v>20</v>
      </c>
      <c r="E815" s="57">
        <v>0.7</v>
      </c>
      <c r="F815" s="125"/>
      <c r="G815" s="125">
        <f>F815*E815</f>
        <v>0</v>
      </c>
      <c r="H815" s="105"/>
      <c r="J815" s="74"/>
      <c r="K815" s="74"/>
    </row>
    <row r="816" spans="1:11" ht="37.5" customHeight="1">
      <c r="A816" s="54"/>
      <c r="B816" s="62" t="s">
        <v>525</v>
      </c>
      <c r="C816" s="29" t="s">
        <v>195</v>
      </c>
      <c r="D816" s="37"/>
      <c r="E816" s="84"/>
      <c r="F816" s="125"/>
      <c r="G816" s="125"/>
      <c r="H816" s="105"/>
      <c r="J816" s="74"/>
      <c r="K816" s="74"/>
    </row>
    <row r="817" spans="1:11" ht="78.75">
      <c r="A817" s="61"/>
      <c r="B817" s="224" t="s">
        <v>295</v>
      </c>
      <c r="C817" s="48" t="s">
        <v>801</v>
      </c>
      <c r="D817" s="37" t="s">
        <v>20</v>
      </c>
      <c r="E817" s="60">
        <v>0.7</v>
      </c>
      <c r="F817" s="130">
        <v>7087000</v>
      </c>
      <c r="G817" s="125">
        <f>F817*E817</f>
        <v>4960900</v>
      </c>
      <c r="H817" s="106"/>
      <c r="J817" s="74"/>
      <c r="K817" s="74"/>
    </row>
    <row r="818" spans="1:11" ht="33.75" customHeight="1">
      <c r="A818" s="61"/>
      <c r="B818" s="30"/>
      <c r="C818" s="29" t="s">
        <v>55</v>
      </c>
      <c r="D818" s="49" t="s">
        <v>20</v>
      </c>
      <c r="E818" s="84">
        <f>8*2</f>
        <v>16</v>
      </c>
      <c r="F818" s="125">
        <v>325000</v>
      </c>
      <c r="G818" s="125">
        <f>F818*E818</f>
        <v>5200000</v>
      </c>
      <c r="H818" s="106"/>
      <c r="J818" s="74"/>
      <c r="K818" s="74"/>
    </row>
    <row r="819" spans="1:11" ht="18.75" customHeight="1">
      <c r="A819" s="140"/>
      <c r="B819" s="224"/>
      <c r="C819" s="30" t="s">
        <v>1082</v>
      </c>
      <c r="D819" s="64" t="s">
        <v>43</v>
      </c>
      <c r="E819" s="60">
        <v>1</v>
      </c>
      <c r="F819" s="130">
        <v>500000</v>
      </c>
      <c r="G819" s="125">
        <f>F819*E819</f>
        <v>500000</v>
      </c>
      <c r="H819" s="251"/>
      <c r="J819" s="74"/>
      <c r="K819" s="74"/>
    </row>
    <row r="820" spans="1:11" ht="18.75" customHeight="1">
      <c r="A820" s="42"/>
      <c r="B820" s="43" t="s">
        <v>5</v>
      </c>
      <c r="C820" s="44"/>
      <c r="D820" s="45"/>
      <c r="E820" s="46"/>
      <c r="F820" s="133"/>
      <c r="G820" s="156">
        <f>SUM(G815:G819)</f>
        <v>10660900</v>
      </c>
      <c r="H820" s="261"/>
      <c r="J820" s="74"/>
      <c r="K820" s="74"/>
    </row>
    <row r="821" spans="1:11" ht="31.5">
      <c r="A821" s="54">
        <v>51</v>
      </c>
      <c r="B821" s="55" t="s">
        <v>1159</v>
      </c>
      <c r="C821" s="29" t="s">
        <v>661</v>
      </c>
      <c r="D821" s="37" t="s">
        <v>20</v>
      </c>
      <c r="E821" s="57">
        <v>154.1</v>
      </c>
      <c r="F821" s="125"/>
      <c r="G821" s="125"/>
      <c r="H821" s="105"/>
      <c r="J821" s="74"/>
      <c r="K821" s="74"/>
    </row>
    <row r="822" spans="1:11" ht="31.5">
      <c r="A822" s="54"/>
      <c r="B822" s="30" t="s">
        <v>525</v>
      </c>
      <c r="C822" s="29" t="s">
        <v>195</v>
      </c>
      <c r="D822" s="37"/>
      <c r="E822" s="84"/>
      <c r="F822" s="125"/>
      <c r="G822" s="125"/>
      <c r="H822" s="105"/>
      <c r="J822" s="74"/>
      <c r="K822" s="74"/>
    </row>
    <row r="823" spans="1:11" ht="106.5" customHeight="1">
      <c r="A823" s="54"/>
      <c r="B823" s="62" t="s">
        <v>298</v>
      </c>
      <c r="C823" s="29" t="s">
        <v>814</v>
      </c>
      <c r="D823" s="37" t="s">
        <v>20</v>
      </c>
      <c r="E823" s="84">
        <v>154.1</v>
      </c>
      <c r="F823" s="125">
        <v>8504500</v>
      </c>
      <c r="G823" s="125">
        <f>F823*E823</f>
        <v>1310543450</v>
      </c>
      <c r="H823" s="105"/>
      <c r="J823" s="74"/>
      <c r="K823" s="74"/>
    </row>
    <row r="824" spans="1:11" ht="31.5">
      <c r="A824" s="61"/>
      <c r="B824" s="62"/>
      <c r="C824" s="30" t="s">
        <v>296</v>
      </c>
      <c r="D824" s="64"/>
      <c r="E824" s="60"/>
      <c r="F824" s="130"/>
      <c r="G824" s="125"/>
      <c r="H824" s="106"/>
      <c r="J824" s="74"/>
      <c r="K824" s="74"/>
    </row>
    <row r="825" spans="1:11" ht="31.5">
      <c r="A825" s="61"/>
      <c r="B825" s="30"/>
      <c r="C825" s="48" t="s">
        <v>297</v>
      </c>
      <c r="D825" s="49"/>
      <c r="E825" s="50"/>
      <c r="F825" s="125"/>
      <c r="G825" s="125"/>
      <c r="H825" s="106"/>
      <c r="J825" s="74"/>
      <c r="K825" s="74"/>
    </row>
    <row r="826" spans="1:11" ht="15.75">
      <c r="A826" s="42"/>
      <c r="B826" s="43" t="s">
        <v>5</v>
      </c>
      <c r="C826" s="44"/>
      <c r="D826" s="45"/>
      <c r="E826" s="46"/>
      <c r="F826" s="133"/>
      <c r="G826" s="156">
        <f>SUM(G821:G825)</f>
        <v>1310543450</v>
      </c>
      <c r="H826" s="261"/>
      <c r="J826" s="74"/>
      <c r="K826" s="74"/>
    </row>
    <row r="827" spans="1:11" ht="31.5">
      <c r="A827" s="54">
        <v>52</v>
      </c>
      <c r="B827" s="55" t="s">
        <v>1160</v>
      </c>
      <c r="C827" s="29" t="s">
        <v>662</v>
      </c>
      <c r="D827" s="37" t="s">
        <v>20</v>
      </c>
      <c r="E827" s="57">
        <v>143.5</v>
      </c>
      <c r="F827" s="125"/>
      <c r="G827" s="125"/>
      <c r="H827" s="105"/>
      <c r="J827" s="74"/>
      <c r="K827" s="74"/>
    </row>
    <row r="828" spans="1:11" ht="40.5" customHeight="1">
      <c r="A828" s="54"/>
      <c r="B828" s="30" t="s">
        <v>525</v>
      </c>
      <c r="C828" s="29" t="s">
        <v>195</v>
      </c>
      <c r="D828" s="37"/>
      <c r="E828" s="84"/>
      <c r="F828" s="125"/>
      <c r="G828" s="125"/>
      <c r="H828" s="105"/>
      <c r="J828" s="74"/>
      <c r="K828" s="74"/>
    </row>
    <row r="829" spans="1:11" ht="100.5" customHeight="1">
      <c r="A829" s="61"/>
      <c r="B829" s="62" t="s">
        <v>299</v>
      </c>
      <c r="C829" s="29" t="s">
        <v>814</v>
      </c>
      <c r="D829" s="37" t="s">
        <v>20</v>
      </c>
      <c r="E829" s="60">
        <v>143.5</v>
      </c>
      <c r="F829" s="125">
        <v>8504500</v>
      </c>
      <c r="G829" s="125">
        <f>F829*E829</f>
        <v>1220395750</v>
      </c>
      <c r="H829" s="106"/>
      <c r="J829" s="74"/>
      <c r="K829" s="74"/>
    </row>
    <row r="830" spans="1:11" ht="31.5">
      <c r="A830" s="61"/>
      <c r="B830" s="217"/>
      <c r="C830" s="48" t="s">
        <v>297</v>
      </c>
      <c r="D830" s="49"/>
      <c r="E830" s="50"/>
      <c r="F830" s="125"/>
      <c r="G830" s="125"/>
      <c r="H830" s="106"/>
      <c r="J830" s="74"/>
      <c r="K830" s="74"/>
    </row>
    <row r="831" spans="1:11" ht="15.75">
      <c r="A831" s="42"/>
      <c r="B831" s="43" t="s">
        <v>5</v>
      </c>
      <c r="C831" s="44"/>
      <c r="D831" s="45"/>
      <c r="E831" s="46"/>
      <c r="F831" s="133"/>
      <c r="G831" s="156">
        <f>SUM(G827:G830)</f>
        <v>1220395750</v>
      </c>
      <c r="H831" s="261"/>
      <c r="J831" s="74"/>
      <c r="K831" s="74"/>
    </row>
    <row r="832" spans="1:11" ht="45">
      <c r="A832" s="54">
        <v>53</v>
      </c>
      <c r="B832" s="55" t="s">
        <v>215</v>
      </c>
      <c r="C832" s="29" t="s">
        <v>663</v>
      </c>
      <c r="D832" s="37" t="s">
        <v>20</v>
      </c>
      <c r="E832" s="57">
        <v>90.8</v>
      </c>
      <c r="F832" s="125"/>
      <c r="G832" s="125"/>
      <c r="H832" s="105" t="s">
        <v>288</v>
      </c>
      <c r="J832" s="74"/>
      <c r="K832" s="74"/>
    </row>
    <row r="833" spans="1:11" ht="15.75">
      <c r="A833" s="54"/>
      <c r="B833" s="30" t="s">
        <v>976</v>
      </c>
      <c r="C833" s="29" t="s">
        <v>195</v>
      </c>
      <c r="D833" s="37"/>
      <c r="E833" s="84"/>
      <c r="F833" s="125"/>
      <c r="G833" s="125"/>
      <c r="H833" s="105"/>
      <c r="J833" s="74"/>
      <c r="K833" s="74"/>
    </row>
    <row r="834" spans="1:11" ht="70.5" customHeight="1">
      <c r="A834" s="54"/>
      <c r="B834" s="30" t="s">
        <v>525</v>
      </c>
      <c r="C834" s="48" t="s">
        <v>802</v>
      </c>
      <c r="D834" s="37" t="s">
        <v>20</v>
      </c>
      <c r="E834" s="84">
        <v>90.8</v>
      </c>
      <c r="F834" s="125">
        <v>14174000</v>
      </c>
      <c r="G834" s="125">
        <f>F834*E834</f>
        <v>1286999200</v>
      </c>
      <c r="H834" s="105"/>
      <c r="J834" s="74"/>
      <c r="K834" s="74"/>
    </row>
    <row r="835" spans="1:11" ht="33.75" customHeight="1">
      <c r="A835" s="61"/>
      <c r="B835" s="30"/>
      <c r="C835" s="30" t="s">
        <v>300</v>
      </c>
      <c r="D835" s="37" t="s">
        <v>20</v>
      </c>
      <c r="E835" s="60">
        <f>14.7*2.4</f>
        <v>35.279999999999994</v>
      </c>
      <c r="F835" s="130">
        <v>928000</v>
      </c>
      <c r="G835" s="125">
        <f>F835*E835</f>
        <v>32739839.999999996</v>
      </c>
      <c r="H835" s="106"/>
      <c r="J835" s="74"/>
      <c r="K835" s="74"/>
    </row>
    <row r="836" spans="1:11" ht="18.75">
      <c r="A836" s="61"/>
      <c r="B836" s="62"/>
      <c r="C836" s="48" t="s">
        <v>25</v>
      </c>
      <c r="D836" s="37" t="s">
        <v>32</v>
      </c>
      <c r="E836" s="50">
        <f>(5.2*0.5*0.1)+((11*0.3*0.1)*2)</f>
        <v>0.92</v>
      </c>
      <c r="F836" s="125">
        <v>1250000</v>
      </c>
      <c r="G836" s="125">
        <f aca="true" t="shared" si="35" ref="G836:G844">F836*E836</f>
        <v>1150000</v>
      </c>
      <c r="H836" s="106"/>
      <c r="J836" s="74"/>
      <c r="K836" s="74"/>
    </row>
    <row r="837" spans="1:11" ht="15.75">
      <c r="A837" s="61"/>
      <c r="B837" s="236"/>
      <c r="C837" s="29" t="s">
        <v>1083</v>
      </c>
      <c r="D837" s="49" t="s">
        <v>43</v>
      </c>
      <c r="E837" s="50">
        <v>1</v>
      </c>
      <c r="F837" s="125">
        <v>400000</v>
      </c>
      <c r="G837" s="125">
        <f t="shared" si="35"/>
        <v>400000</v>
      </c>
      <c r="H837" s="106"/>
      <c r="J837" s="74"/>
      <c r="K837" s="74"/>
    </row>
    <row r="838" spans="1:11" ht="15.75">
      <c r="A838" s="61"/>
      <c r="B838" s="62"/>
      <c r="C838" s="29" t="s">
        <v>1084</v>
      </c>
      <c r="D838" s="49" t="s">
        <v>43</v>
      </c>
      <c r="E838" s="50">
        <v>1</v>
      </c>
      <c r="F838" s="125">
        <v>800000</v>
      </c>
      <c r="G838" s="125">
        <f t="shared" si="35"/>
        <v>800000</v>
      </c>
      <c r="H838" s="106"/>
      <c r="J838" s="74"/>
      <c r="K838" s="74"/>
    </row>
    <row r="839" spans="1:11" ht="18.75">
      <c r="A839" s="61"/>
      <c r="B839" s="62"/>
      <c r="C839" s="29" t="s">
        <v>301</v>
      </c>
      <c r="D839" s="37" t="s">
        <v>20</v>
      </c>
      <c r="E839" s="50">
        <v>5</v>
      </c>
      <c r="F839" s="125">
        <v>6000</v>
      </c>
      <c r="G839" s="125">
        <f t="shared" si="35"/>
        <v>30000</v>
      </c>
      <c r="H839" s="106"/>
      <c r="J839" s="74"/>
      <c r="K839" s="74"/>
    </row>
    <row r="840" spans="1:11" ht="15.75">
      <c r="A840" s="61"/>
      <c r="B840" s="62"/>
      <c r="C840" s="29" t="s">
        <v>1085</v>
      </c>
      <c r="D840" s="49" t="s">
        <v>43</v>
      </c>
      <c r="E840" s="50">
        <v>1</v>
      </c>
      <c r="F840" s="125">
        <v>600000</v>
      </c>
      <c r="G840" s="125">
        <f t="shared" si="35"/>
        <v>600000</v>
      </c>
      <c r="H840" s="106"/>
      <c r="J840" s="74"/>
      <c r="K840" s="74"/>
    </row>
    <row r="841" spans="1:11" ht="15.75">
      <c r="A841" s="61"/>
      <c r="B841" s="62"/>
      <c r="C841" s="29" t="s">
        <v>1086</v>
      </c>
      <c r="D841" s="49" t="s">
        <v>43</v>
      </c>
      <c r="E841" s="50">
        <v>1</v>
      </c>
      <c r="F841" s="125">
        <v>2500000</v>
      </c>
      <c r="G841" s="125">
        <f t="shared" si="35"/>
        <v>2500000</v>
      </c>
      <c r="H841" s="106"/>
      <c r="J841" s="74"/>
      <c r="K841" s="74"/>
    </row>
    <row r="842" spans="1:11" ht="15.75">
      <c r="A842" s="61"/>
      <c r="B842" s="62"/>
      <c r="C842" s="29" t="s">
        <v>1087</v>
      </c>
      <c r="D842" s="49" t="s">
        <v>43</v>
      </c>
      <c r="E842" s="50">
        <v>1</v>
      </c>
      <c r="F842" s="125">
        <v>1800000</v>
      </c>
      <c r="G842" s="125">
        <f t="shared" si="35"/>
        <v>1800000</v>
      </c>
      <c r="H842" s="106"/>
      <c r="J842" s="74"/>
      <c r="K842" s="74"/>
    </row>
    <row r="843" spans="1:11" ht="15.75">
      <c r="A843" s="61"/>
      <c r="B843" s="62"/>
      <c r="C843" s="29" t="s">
        <v>1088</v>
      </c>
      <c r="D843" s="49" t="s">
        <v>43</v>
      </c>
      <c r="E843" s="50">
        <v>2</v>
      </c>
      <c r="F843" s="125">
        <v>600000</v>
      </c>
      <c r="G843" s="125">
        <f t="shared" si="35"/>
        <v>1200000</v>
      </c>
      <c r="H843" s="106"/>
      <c r="J843" s="74"/>
      <c r="K843" s="74"/>
    </row>
    <row r="844" spans="1:11" ht="15.75">
      <c r="A844" s="61"/>
      <c r="B844" s="62"/>
      <c r="C844" s="29" t="s">
        <v>302</v>
      </c>
      <c r="D844" s="49" t="s">
        <v>145</v>
      </c>
      <c r="E844" s="50">
        <v>2</v>
      </c>
      <c r="F844" s="125">
        <v>240000</v>
      </c>
      <c r="G844" s="125">
        <f t="shared" si="35"/>
        <v>480000</v>
      </c>
      <c r="H844" s="106"/>
      <c r="J844" s="74"/>
      <c r="K844" s="74"/>
    </row>
    <row r="845" spans="1:11" ht="15.75">
      <c r="A845" s="42"/>
      <c r="B845" s="43" t="s">
        <v>5</v>
      </c>
      <c r="C845" s="44"/>
      <c r="D845" s="45"/>
      <c r="E845" s="46"/>
      <c r="F845" s="133"/>
      <c r="G845" s="156">
        <f>SUM(G832:G844)</f>
        <v>1328699040</v>
      </c>
      <c r="H845" s="261"/>
      <c r="J845" s="74"/>
      <c r="K845" s="74"/>
    </row>
    <row r="846" spans="1:11" ht="75">
      <c r="A846" s="54">
        <v>54</v>
      </c>
      <c r="B846" s="55" t="s">
        <v>977</v>
      </c>
      <c r="C846" s="29" t="s">
        <v>664</v>
      </c>
      <c r="D846" s="37" t="s">
        <v>20</v>
      </c>
      <c r="E846" s="57">
        <v>341.7</v>
      </c>
      <c r="F846" s="125"/>
      <c r="G846" s="125"/>
      <c r="H846" s="105" t="s">
        <v>303</v>
      </c>
      <c r="J846" s="74"/>
      <c r="K846" s="74"/>
    </row>
    <row r="847" spans="1:11" ht="31.5">
      <c r="A847" s="54"/>
      <c r="B847" s="30" t="s">
        <v>525</v>
      </c>
      <c r="C847" s="29" t="s">
        <v>195</v>
      </c>
      <c r="D847" s="37"/>
      <c r="E847" s="84"/>
      <c r="F847" s="125"/>
      <c r="G847" s="125"/>
      <c r="H847" s="105"/>
      <c r="J847" s="74"/>
      <c r="K847" s="74"/>
    </row>
    <row r="848" spans="1:11" ht="73.5" customHeight="1">
      <c r="A848" s="54"/>
      <c r="B848" s="62" t="s">
        <v>18</v>
      </c>
      <c r="C848" s="48" t="s">
        <v>803</v>
      </c>
      <c r="D848" s="37" t="s">
        <v>20</v>
      </c>
      <c r="E848" s="84">
        <v>243.04</v>
      </c>
      <c r="F848" s="125">
        <v>14174000</v>
      </c>
      <c r="G848" s="125">
        <f>F848*E848</f>
        <v>3444848960</v>
      </c>
      <c r="H848" s="105"/>
      <c r="J848" s="74"/>
      <c r="K848" s="74"/>
    </row>
    <row r="849" spans="1:11" ht="93.75" customHeight="1">
      <c r="A849" s="54"/>
      <c r="B849" s="55"/>
      <c r="C849" s="29" t="s">
        <v>801</v>
      </c>
      <c r="D849" s="37" t="s">
        <v>20</v>
      </c>
      <c r="E849" s="84">
        <v>98.66</v>
      </c>
      <c r="F849" s="125">
        <v>7087000</v>
      </c>
      <c r="G849" s="125">
        <f>F849*E849</f>
        <v>699203420</v>
      </c>
      <c r="H849" s="105"/>
      <c r="J849" s="74"/>
      <c r="K849" s="74"/>
    </row>
    <row r="850" spans="1:11" ht="31.5">
      <c r="A850" s="61"/>
      <c r="B850" s="62"/>
      <c r="C850" s="30" t="s">
        <v>312</v>
      </c>
      <c r="D850" s="37" t="s">
        <v>20</v>
      </c>
      <c r="E850" s="60">
        <f>(10.11+6.95+10.05+1.79+10.84+0.86+6.72+4.91+5.24+2.15)*3.5</f>
        <v>208.66999999999996</v>
      </c>
      <c r="F850" s="130">
        <v>325000</v>
      </c>
      <c r="G850" s="125">
        <f>F850*E850</f>
        <v>67817749.99999999</v>
      </c>
      <c r="H850" s="106"/>
      <c r="J850" s="74"/>
      <c r="K850" s="74"/>
    </row>
    <row r="851" spans="1:11" ht="15.75">
      <c r="A851" s="61"/>
      <c r="B851" s="30"/>
      <c r="C851" s="48" t="s">
        <v>302</v>
      </c>
      <c r="D851" s="49" t="s">
        <v>145</v>
      </c>
      <c r="E851" s="50">
        <v>10</v>
      </c>
      <c r="F851" s="125">
        <v>240000</v>
      </c>
      <c r="G851" s="125">
        <f aca="true" t="shared" si="36" ref="G851:G859">F851*E851</f>
        <v>2400000</v>
      </c>
      <c r="H851" s="106"/>
      <c r="J851" s="74"/>
      <c r="K851" s="74"/>
    </row>
    <row r="852" spans="1:11" ht="15.75">
      <c r="A852" s="61"/>
      <c r="B852" s="62"/>
      <c r="C852" s="29" t="s">
        <v>1083</v>
      </c>
      <c r="D852" s="49" t="s">
        <v>43</v>
      </c>
      <c r="E852" s="50">
        <v>25</v>
      </c>
      <c r="F852" s="125">
        <v>400000</v>
      </c>
      <c r="G852" s="125">
        <f t="shared" si="36"/>
        <v>10000000</v>
      </c>
      <c r="H852" s="106"/>
      <c r="J852" s="74"/>
      <c r="K852" s="74"/>
    </row>
    <row r="853" spans="1:11" ht="15.75">
      <c r="A853" s="61"/>
      <c r="B853" s="62"/>
      <c r="C853" s="29" t="s">
        <v>1089</v>
      </c>
      <c r="D853" s="49" t="s">
        <v>43</v>
      </c>
      <c r="E853" s="50">
        <v>1</v>
      </c>
      <c r="F853" s="125">
        <v>629000</v>
      </c>
      <c r="G853" s="125">
        <f t="shared" si="36"/>
        <v>629000</v>
      </c>
      <c r="H853" s="106"/>
      <c r="J853" s="74"/>
      <c r="K853" s="74"/>
    </row>
    <row r="854" spans="1:11" ht="15.75">
      <c r="A854" s="61"/>
      <c r="B854" s="62"/>
      <c r="C854" s="29" t="s">
        <v>1042</v>
      </c>
      <c r="D854" s="49" t="s">
        <v>43</v>
      </c>
      <c r="E854" s="50">
        <v>8</v>
      </c>
      <c r="F854" s="125">
        <v>1200000</v>
      </c>
      <c r="G854" s="125">
        <f t="shared" si="36"/>
        <v>9600000</v>
      </c>
      <c r="H854" s="106"/>
      <c r="J854" s="74"/>
      <c r="K854" s="74"/>
    </row>
    <row r="855" spans="1:11" ht="45.75" customHeight="1">
      <c r="A855" s="61"/>
      <c r="B855" s="62"/>
      <c r="C855" s="29" t="s">
        <v>1036</v>
      </c>
      <c r="D855" s="49" t="s">
        <v>43</v>
      </c>
      <c r="E855" s="50">
        <v>1</v>
      </c>
      <c r="F855" s="125">
        <v>300000</v>
      </c>
      <c r="G855" s="125">
        <f t="shared" si="36"/>
        <v>300000</v>
      </c>
      <c r="H855" s="106"/>
      <c r="J855" s="74"/>
      <c r="K855" s="74"/>
    </row>
    <row r="856" spans="1:11" ht="15.75">
      <c r="A856" s="61"/>
      <c r="B856" s="62"/>
      <c r="C856" s="29" t="s">
        <v>1090</v>
      </c>
      <c r="D856" s="49" t="s">
        <v>43</v>
      </c>
      <c r="E856" s="50">
        <v>5</v>
      </c>
      <c r="F856" s="125">
        <v>400000</v>
      </c>
      <c r="G856" s="125">
        <f t="shared" si="36"/>
        <v>2000000</v>
      </c>
      <c r="H856" s="106"/>
      <c r="J856" s="74"/>
      <c r="K856" s="74"/>
    </row>
    <row r="857" spans="1:11" ht="18.75">
      <c r="A857" s="61"/>
      <c r="B857" s="62"/>
      <c r="C857" s="29" t="s">
        <v>304</v>
      </c>
      <c r="D857" s="37" t="s">
        <v>20</v>
      </c>
      <c r="E857" s="50">
        <v>10</v>
      </c>
      <c r="F857" s="125">
        <v>52500</v>
      </c>
      <c r="G857" s="125">
        <f t="shared" si="36"/>
        <v>525000</v>
      </c>
      <c r="H857" s="106"/>
      <c r="J857" s="74"/>
      <c r="K857" s="74"/>
    </row>
    <row r="858" spans="1:11" ht="15.75">
      <c r="A858" s="61"/>
      <c r="B858" s="62"/>
      <c r="C858" s="29" t="s">
        <v>1091</v>
      </c>
      <c r="D858" s="49" t="s">
        <v>43</v>
      </c>
      <c r="E858" s="50">
        <v>3</v>
      </c>
      <c r="F858" s="125">
        <v>800000</v>
      </c>
      <c r="G858" s="125">
        <f t="shared" si="36"/>
        <v>2400000</v>
      </c>
      <c r="H858" s="106" t="s">
        <v>316</v>
      </c>
      <c r="J858" s="74"/>
      <c r="K858" s="74"/>
    </row>
    <row r="859" spans="1:11" ht="18.75">
      <c r="A859" s="61"/>
      <c r="B859" s="62"/>
      <c r="C859" s="29" t="s">
        <v>1092</v>
      </c>
      <c r="D859" s="37" t="s">
        <v>20</v>
      </c>
      <c r="E859" s="50">
        <v>3</v>
      </c>
      <c r="F859" s="125">
        <v>5200</v>
      </c>
      <c r="G859" s="125">
        <f t="shared" si="36"/>
        <v>15600</v>
      </c>
      <c r="H859" s="106"/>
      <c r="J859" s="74"/>
      <c r="K859" s="74"/>
    </row>
    <row r="860" spans="1:11" ht="15.75">
      <c r="A860" s="42"/>
      <c r="B860" s="43" t="s">
        <v>5</v>
      </c>
      <c r="C860" s="44"/>
      <c r="D860" s="45"/>
      <c r="E860" s="46"/>
      <c r="F860" s="133"/>
      <c r="G860" s="156">
        <f>SUM(G846:G859)</f>
        <v>4239739730</v>
      </c>
      <c r="H860" s="261"/>
      <c r="J860" s="74"/>
      <c r="K860" s="74"/>
    </row>
    <row r="861" spans="1:11" ht="31.5">
      <c r="A861" s="54">
        <v>55</v>
      </c>
      <c r="B861" s="55" t="s">
        <v>317</v>
      </c>
      <c r="C861" s="29" t="s">
        <v>666</v>
      </c>
      <c r="D861" s="37" t="s">
        <v>20</v>
      </c>
      <c r="E861" s="57">
        <v>160</v>
      </c>
      <c r="F861" s="125"/>
      <c r="G861" s="125">
        <f>F861*E861</f>
        <v>0</v>
      </c>
      <c r="H861" s="105"/>
      <c r="J861" s="74"/>
      <c r="K861" s="74"/>
    </row>
    <row r="862" spans="1:11" ht="15.75">
      <c r="A862" s="61"/>
      <c r="B862" s="55" t="s">
        <v>665</v>
      </c>
      <c r="C862" s="29" t="s">
        <v>195</v>
      </c>
      <c r="D862" s="37"/>
      <c r="E862" s="60"/>
      <c r="F862" s="130"/>
      <c r="G862" s="125">
        <f>F862*E862</f>
        <v>0</v>
      </c>
      <c r="H862" s="106"/>
      <c r="J862" s="74"/>
      <c r="K862" s="74"/>
    </row>
    <row r="863" spans="1:11" ht="97.5" customHeight="1">
      <c r="A863" s="61"/>
      <c r="B863" s="30" t="s">
        <v>534</v>
      </c>
      <c r="C863" s="29" t="s">
        <v>897</v>
      </c>
      <c r="D863" s="37" t="s">
        <v>20</v>
      </c>
      <c r="E863" s="50">
        <v>160</v>
      </c>
      <c r="F863" s="125">
        <v>6791600</v>
      </c>
      <c r="G863" s="125">
        <f>F863*E863</f>
        <v>1086656000</v>
      </c>
      <c r="H863" s="106"/>
      <c r="J863" s="74"/>
      <c r="K863" s="74"/>
    </row>
    <row r="864" spans="1:11" ht="15.75">
      <c r="A864" s="61"/>
      <c r="B864" s="62" t="s">
        <v>584</v>
      </c>
      <c r="C864" s="29"/>
      <c r="D864" s="49"/>
      <c r="E864" s="50"/>
      <c r="F864" s="125"/>
      <c r="G864" s="125"/>
      <c r="H864" s="106"/>
      <c r="J864" s="74"/>
      <c r="K864" s="74"/>
    </row>
    <row r="865" spans="1:11" ht="15.75">
      <c r="A865" s="42"/>
      <c r="B865" s="43" t="s">
        <v>5</v>
      </c>
      <c r="C865" s="44"/>
      <c r="D865" s="45"/>
      <c r="E865" s="46"/>
      <c r="F865" s="133"/>
      <c r="G865" s="156">
        <f>SUM(G861:G864)</f>
        <v>1086656000</v>
      </c>
      <c r="H865" s="261"/>
      <c r="J865" s="74"/>
      <c r="K865" s="74"/>
    </row>
    <row r="866" spans="1:11" ht="31.5">
      <c r="A866" s="54">
        <v>56</v>
      </c>
      <c r="B866" s="55" t="s">
        <v>318</v>
      </c>
      <c r="C866" s="29" t="s">
        <v>668</v>
      </c>
      <c r="D866" s="37" t="s">
        <v>20</v>
      </c>
      <c r="E866" s="57">
        <v>79.8</v>
      </c>
      <c r="F866" s="134"/>
      <c r="G866" s="134">
        <f>F866*E866</f>
        <v>0</v>
      </c>
      <c r="H866" s="259"/>
      <c r="J866" s="74"/>
      <c r="K866" s="74"/>
    </row>
    <row r="867" spans="1:11" ht="29.25" customHeight="1">
      <c r="A867" s="54"/>
      <c r="B867" s="55" t="s">
        <v>667</v>
      </c>
      <c r="C867" s="29" t="s">
        <v>195</v>
      </c>
      <c r="D867" s="37"/>
      <c r="E867" s="84"/>
      <c r="F867" s="125"/>
      <c r="G867" s="125"/>
      <c r="H867" s="105"/>
      <c r="J867" s="74"/>
      <c r="K867" s="74"/>
    </row>
    <row r="868" spans="1:11" ht="38.25" customHeight="1">
      <c r="A868" s="54"/>
      <c r="B868" s="30" t="s">
        <v>892</v>
      </c>
      <c r="C868" s="48" t="s">
        <v>953</v>
      </c>
      <c r="D868" s="37" t="s">
        <v>20</v>
      </c>
      <c r="E868" s="84">
        <v>79.8</v>
      </c>
      <c r="F868" s="125">
        <v>1841000</v>
      </c>
      <c r="G868" s="125">
        <f>F868*E868</f>
        <v>146911800</v>
      </c>
      <c r="H868" s="105"/>
      <c r="J868" s="74"/>
      <c r="K868" s="74"/>
    </row>
    <row r="869" spans="1:11" ht="15.75">
      <c r="A869" s="54"/>
      <c r="B869" s="62" t="s">
        <v>319</v>
      </c>
      <c r="C869" s="30" t="s">
        <v>978</v>
      </c>
      <c r="D869" s="64" t="s">
        <v>43</v>
      </c>
      <c r="E869" s="60">
        <v>1</v>
      </c>
      <c r="F869" s="130">
        <v>600000</v>
      </c>
      <c r="G869" s="130">
        <f>F869*E869</f>
        <v>600000</v>
      </c>
      <c r="H869" s="105"/>
      <c r="J869" s="74"/>
      <c r="K869" s="74"/>
    </row>
    <row r="870" spans="1:11" ht="15.75">
      <c r="A870" s="54"/>
      <c r="B870" s="30"/>
      <c r="C870" s="29" t="s">
        <v>869</v>
      </c>
      <c r="D870" s="49" t="s">
        <v>43</v>
      </c>
      <c r="E870" s="84">
        <v>4</v>
      </c>
      <c r="F870" s="125">
        <v>160000</v>
      </c>
      <c r="G870" s="130">
        <f>F870*E870</f>
        <v>640000</v>
      </c>
      <c r="H870" s="105"/>
      <c r="J870" s="74"/>
      <c r="K870" s="74"/>
    </row>
    <row r="871" spans="1:11" ht="15.75">
      <c r="A871" s="42"/>
      <c r="B871" s="201" t="s">
        <v>5</v>
      </c>
      <c r="C871" s="44"/>
      <c r="D871" s="45"/>
      <c r="E871" s="46"/>
      <c r="F871" s="133"/>
      <c r="G871" s="156">
        <f>SUM(G866:G870)</f>
        <v>148151800</v>
      </c>
      <c r="H871" s="261"/>
      <c r="J871" s="74"/>
      <c r="K871" s="74"/>
    </row>
    <row r="872" spans="1:12" ht="31.5">
      <c r="A872" s="54">
        <v>57</v>
      </c>
      <c r="B872" s="55" t="s">
        <v>320</v>
      </c>
      <c r="C872" s="29" t="s">
        <v>669</v>
      </c>
      <c r="D872" s="37" t="s">
        <v>20</v>
      </c>
      <c r="E872" s="84">
        <v>18.7</v>
      </c>
      <c r="F872" s="130"/>
      <c r="G872" s="125">
        <f aca="true" t="shared" si="37" ref="G872:G885">F872*E872</f>
        <v>0</v>
      </c>
      <c r="H872" s="251"/>
      <c r="I872" s="110"/>
      <c r="J872" s="85"/>
      <c r="K872" s="248"/>
      <c r="L872" s="249"/>
    </row>
    <row r="873" spans="1:12" ht="60.75" customHeight="1">
      <c r="A873" s="54"/>
      <c r="B873" s="30" t="s">
        <v>535</v>
      </c>
      <c r="C873" s="29" t="s">
        <v>195</v>
      </c>
      <c r="D873" s="37"/>
      <c r="E873" s="84"/>
      <c r="F873" s="130"/>
      <c r="G873" s="125"/>
      <c r="H873" s="251"/>
      <c r="I873" s="110"/>
      <c r="J873" s="85"/>
      <c r="K873" s="248"/>
      <c r="L873" s="249"/>
    </row>
    <row r="874" spans="1:12" ht="18" customHeight="1">
      <c r="A874" s="54"/>
      <c r="B874" s="30" t="s">
        <v>323</v>
      </c>
      <c r="C874" s="29" t="s">
        <v>804</v>
      </c>
      <c r="D874" s="37" t="s">
        <v>20</v>
      </c>
      <c r="E874" s="84">
        <v>15.6</v>
      </c>
      <c r="F874" s="130"/>
      <c r="G874" s="125"/>
      <c r="H874" s="251" t="s">
        <v>805</v>
      </c>
      <c r="I874" s="110"/>
      <c r="J874" s="85"/>
      <c r="K874" s="248"/>
      <c r="L874" s="249"/>
    </row>
    <row r="875" spans="1:12" ht="126.75" customHeight="1">
      <c r="A875" s="54"/>
      <c r="B875" s="30"/>
      <c r="C875" s="48" t="s">
        <v>815</v>
      </c>
      <c r="D875" s="37" t="s">
        <v>20</v>
      </c>
      <c r="E875" s="84">
        <v>3.0999999999999996</v>
      </c>
      <c r="F875" s="125">
        <v>7583500</v>
      </c>
      <c r="G875" s="125">
        <f>F875*E875</f>
        <v>23508849.999999996</v>
      </c>
      <c r="H875" s="106"/>
      <c r="I875" s="110"/>
      <c r="J875" s="85"/>
      <c r="K875" s="248"/>
      <c r="L875" s="249"/>
    </row>
    <row r="876" spans="1:11" ht="63">
      <c r="A876" s="61"/>
      <c r="B876" s="30"/>
      <c r="C876" s="30" t="s">
        <v>324</v>
      </c>
      <c r="D876" s="37" t="s">
        <v>20</v>
      </c>
      <c r="E876" s="60">
        <f>4.55*2.7</f>
        <v>12.285</v>
      </c>
      <c r="F876" s="130">
        <v>3230000</v>
      </c>
      <c r="G876" s="125">
        <f t="shared" si="37"/>
        <v>39680550</v>
      </c>
      <c r="H876" s="251"/>
      <c r="J876" s="74"/>
      <c r="K876" s="74"/>
    </row>
    <row r="877" spans="1:11" ht="31.5">
      <c r="A877" s="54"/>
      <c r="B877" s="62"/>
      <c r="C877" s="29" t="s">
        <v>325</v>
      </c>
      <c r="D877" s="49" t="s">
        <v>20</v>
      </c>
      <c r="E877" s="50">
        <f>2.3*2.2</f>
        <v>5.06</v>
      </c>
      <c r="F877" s="125">
        <v>150000</v>
      </c>
      <c r="G877" s="125">
        <f t="shared" si="37"/>
        <v>758999.9999999999</v>
      </c>
      <c r="H877" s="106"/>
      <c r="J877" s="74"/>
      <c r="K877" s="74"/>
    </row>
    <row r="878" spans="1:11" ht="18.75">
      <c r="A878" s="61"/>
      <c r="B878" s="30"/>
      <c r="C878" s="48" t="s">
        <v>36</v>
      </c>
      <c r="D878" s="37" t="s">
        <v>20</v>
      </c>
      <c r="E878" s="60">
        <f>2.55*2.2</f>
        <v>5.61</v>
      </c>
      <c r="F878" s="125">
        <v>125000</v>
      </c>
      <c r="G878" s="125">
        <f t="shared" si="37"/>
        <v>701250</v>
      </c>
      <c r="H878" s="106"/>
      <c r="J878" s="74"/>
      <c r="K878" s="74"/>
    </row>
    <row r="879" spans="1:11" ht="18.75">
      <c r="A879" s="61"/>
      <c r="B879" s="30"/>
      <c r="C879" s="48" t="s">
        <v>25</v>
      </c>
      <c r="D879" s="37" t="s">
        <v>32</v>
      </c>
      <c r="E879" s="60">
        <f>(2.55+2.2)*2.5*0.1</f>
        <v>1.1875</v>
      </c>
      <c r="F879" s="125">
        <v>1250000</v>
      </c>
      <c r="G879" s="125">
        <f t="shared" si="37"/>
        <v>1484375</v>
      </c>
      <c r="H879" s="106"/>
      <c r="J879" s="74"/>
      <c r="K879" s="74"/>
    </row>
    <row r="880" spans="1:11" ht="18.75">
      <c r="A880" s="61"/>
      <c r="B880" s="30"/>
      <c r="C880" s="48" t="s">
        <v>26</v>
      </c>
      <c r="D880" s="37" t="s">
        <v>20</v>
      </c>
      <c r="E880" s="60">
        <f>(2.55+2.2)*2.5*2</f>
        <v>23.75</v>
      </c>
      <c r="F880" s="125">
        <v>82000</v>
      </c>
      <c r="G880" s="125">
        <f t="shared" si="37"/>
        <v>1947500</v>
      </c>
      <c r="H880" s="106"/>
      <c r="J880" s="74"/>
      <c r="K880" s="74"/>
    </row>
    <row r="881" spans="1:11" ht="31.5">
      <c r="A881" s="61"/>
      <c r="B881" s="30"/>
      <c r="C881" s="29" t="s">
        <v>670</v>
      </c>
      <c r="D881" s="37" t="s">
        <v>20</v>
      </c>
      <c r="E881" s="60">
        <v>15.6</v>
      </c>
      <c r="F881" s="130"/>
      <c r="G881" s="125">
        <f>F881*E881</f>
        <v>0</v>
      </c>
      <c r="H881" s="106"/>
      <c r="J881" s="74"/>
      <c r="K881" s="74"/>
    </row>
    <row r="882" spans="1:11" ht="15.75">
      <c r="A882" s="61"/>
      <c r="B882" s="30"/>
      <c r="C882" s="29" t="s">
        <v>195</v>
      </c>
      <c r="D882" s="37"/>
      <c r="E882" s="60"/>
      <c r="F882" s="130"/>
      <c r="G882" s="125">
        <f>F882*E882</f>
        <v>0</v>
      </c>
      <c r="H882" s="106"/>
      <c r="J882" s="74"/>
      <c r="K882" s="74"/>
    </row>
    <row r="883" spans="1:11" ht="30">
      <c r="A883" s="61"/>
      <c r="B883" s="30"/>
      <c r="C883" s="29" t="s">
        <v>804</v>
      </c>
      <c r="D883" s="37" t="s">
        <v>20</v>
      </c>
      <c r="E883" s="60">
        <v>11.9</v>
      </c>
      <c r="F883" s="130"/>
      <c r="G883" s="125"/>
      <c r="H883" s="251" t="s">
        <v>805</v>
      </c>
      <c r="J883" s="74"/>
      <c r="K883" s="74"/>
    </row>
    <row r="884" spans="1:11" ht="100.5" customHeight="1">
      <c r="A884" s="61"/>
      <c r="B884" s="30"/>
      <c r="C884" s="29" t="s">
        <v>1188</v>
      </c>
      <c r="D884" s="37" t="s">
        <v>20</v>
      </c>
      <c r="E884" s="60">
        <v>3.7</v>
      </c>
      <c r="F884" s="125">
        <v>10187500</v>
      </c>
      <c r="G884" s="125">
        <f>F884*E884</f>
        <v>37693750</v>
      </c>
      <c r="H884" s="106"/>
      <c r="J884" s="74"/>
      <c r="K884" s="74"/>
    </row>
    <row r="885" spans="1:11" ht="15.75">
      <c r="A885" s="61"/>
      <c r="B885" s="30"/>
      <c r="C885" s="48" t="s">
        <v>1000</v>
      </c>
      <c r="D885" s="37" t="s">
        <v>43</v>
      </c>
      <c r="E885" s="60">
        <v>1</v>
      </c>
      <c r="F885" s="130">
        <v>600000</v>
      </c>
      <c r="G885" s="125">
        <f t="shared" si="37"/>
        <v>600000</v>
      </c>
      <c r="H885" s="106"/>
      <c r="J885" s="74"/>
      <c r="K885" s="74"/>
    </row>
    <row r="886" spans="1:11" ht="63">
      <c r="A886" s="61"/>
      <c r="B886" s="30"/>
      <c r="C886" s="30" t="s">
        <v>321</v>
      </c>
      <c r="D886" s="37" t="s">
        <v>20</v>
      </c>
      <c r="E886" s="60">
        <f>1.1*4.2</f>
        <v>4.620000000000001</v>
      </c>
      <c r="F886" s="130">
        <f>3230000-(8%*3230000)-150000</f>
        <v>2821600</v>
      </c>
      <c r="G886" s="125">
        <f>F886*E886</f>
        <v>13035792.000000004</v>
      </c>
      <c r="H886" s="213" t="s">
        <v>764</v>
      </c>
      <c r="J886" s="74"/>
      <c r="K886" s="74"/>
    </row>
    <row r="887" spans="1:11" ht="31.5">
      <c r="A887" s="266"/>
      <c r="B887" s="267"/>
      <c r="C887" s="48" t="s">
        <v>322</v>
      </c>
      <c r="D887" s="37" t="s">
        <v>20</v>
      </c>
      <c r="E887" s="60">
        <f>1.93*4.2</f>
        <v>8.106</v>
      </c>
      <c r="F887" s="125">
        <v>821000</v>
      </c>
      <c r="G887" s="125">
        <f>F887*E887</f>
        <v>6655026</v>
      </c>
      <c r="H887" s="106"/>
      <c r="J887" s="74"/>
      <c r="K887" s="74"/>
    </row>
    <row r="888" spans="1:11" ht="15.75">
      <c r="A888" s="42"/>
      <c r="B888" s="43" t="s">
        <v>5</v>
      </c>
      <c r="C888" s="44"/>
      <c r="D888" s="45"/>
      <c r="E888" s="46"/>
      <c r="F888" s="133"/>
      <c r="G888" s="156">
        <f>SUM(G872:G887)</f>
        <v>126066093</v>
      </c>
      <c r="H888" s="261"/>
      <c r="J888" s="74"/>
      <c r="K888" s="74"/>
    </row>
    <row r="889" spans="1:11" ht="47.25">
      <c r="A889" s="54">
        <v>58</v>
      </c>
      <c r="B889" s="55" t="s">
        <v>326</v>
      </c>
      <c r="C889" s="29" t="s">
        <v>979</v>
      </c>
      <c r="D889" s="37" t="s">
        <v>20</v>
      </c>
      <c r="E889" s="57">
        <v>22.3</v>
      </c>
      <c r="F889" s="125"/>
      <c r="G889" s="125">
        <f>F889*E889</f>
        <v>0</v>
      </c>
      <c r="H889" s="105"/>
      <c r="J889" s="74"/>
      <c r="K889" s="74"/>
    </row>
    <row r="890" spans="1:11" ht="15.75">
      <c r="A890" s="54"/>
      <c r="B890" s="55" t="s">
        <v>327</v>
      </c>
      <c r="C890" s="29" t="s">
        <v>195</v>
      </c>
      <c r="D890" s="37"/>
      <c r="E890" s="84"/>
      <c r="F890" s="125"/>
      <c r="G890" s="125"/>
      <c r="H890" s="105"/>
      <c r="J890" s="74"/>
      <c r="K890" s="74"/>
    </row>
    <row r="891" spans="1:11" ht="52.5" customHeight="1">
      <c r="A891" s="54"/>
      <c r="B891" s="30" t="s">
        <v>536</v>
      </c>
      <c r="C891" s="29" t="s">
        <v>804</v>
      </c>
      <c r="D891" s="37" t="s">
        <v>20</v>
      </c>
      <c r="E891" s="84">
        <v>16</v>
      </c>
      <c r="F891" s="125"/>
      <c r="G891" s="125"/>
      <c r="H891" s="251" t="s">
        <v>805</v>
      </c>
      <c r="J891" s="74"/>
      <c r="K891" s="74"/>
    </row>
    <row r="892" spans="1:11" ht="89.25" customHeight="1">
      <c r="A892" s="54"/>
      <c r="B892" s="62" t="s">
        <v>329</v>
      </c>
      <c r="C892" s="48" t="s">
        <v>807</v>
      </c>
      <c r="D892" s="37" t="s">
        <v>20</v>
      </c>
      <c r="E892" s="84">
        <v>6.300000000000001</v>
      </c>
      <c r="F892" s="125">
        <v>33958000</v>
      </c>
      <c r="G892" s="125">
        <f>F892*E892</f>
        <v>213935400.00000003</v>
      </c>
      <c r="H892" s="105"/>
      <c r="J892" s="74"/>
      <c r="K892" s="74"/>
    </row>
    <row r="893" spans="1:11" ht="94.5">
      <c r="A893" s="54"/>
      <c r="B893" s="62"/>
      <c r="C893" s="29" t="s">
        <v>328</v>
      </c>
      <c r="D893" s="37" t="s">
        <v>20</v>
      </c>
      <c r="E893" s="60">
        <f>(4*8)*2</f>
        <v>64</v>
      </c>
      <c r="F893" s="125">
        <v>5223000</v>
      </c>
      <c r="G893" s="125">
        <f>F893*E893</f>
        <v>334272000</v>
      </c>
      <c r="H893" s="105" t="s">
        <v>766</v>
      </c>
      <c r="J893" s="74"/>
      <c r="K893" s="74"/>
    </row>
    <row r="894" spans="1:11" ht="75" customHeight="1">
      <c r="A894" s="61"/>
      <c r="B894" s="30"/>
      <c r="C894" s="29" t="s">
        <v>330</v>
      </c>
      <c r="D894" s="37" t="s">
        <v>20</v>
      </c>
      <c r="E894" s="50">
        <f>1.62*8</f>
        <v>12.96</v>
      </c>
      <c r="F894" s="125">
        <f>3230000-(5%*3230000)-150000</f>
        <v>2918500</v>
      </c>
      <c r="G894" s="125">
        <f>F894*E894</f>
        <v>37823760</v>
      </c>
      <c r="H894" s="213" t="s">
        <v>767</v>
      </c>
      <c r="J894" s="74"/>
      <c r="K894" s="74"/>
    </row>
    <row r="895" spans="1:11" ht="18.75">
      <c r="A895" s="61"/>
      <c r="B895" s="62"/>
      <c r="C895" s="29" t="s">
        <v>169</v>
      </c>
      <c r="D895" s="37" t="s">
        <v>32</v>
      </c>
      <c r="E895" s="60">
        <f>3*3*2.5</f>
        <v>22.5</v>
      </c>
      <c r="F895" s="130">
        <f>1684000</f>
        <v>1684000</v>
      </c>
      <c r="G895" s="125">
        <f>F895*E895</f>
        <v>37890000</v>
      </c>
      <c r="H895" s="106"/>
      <c r="J895" s="74"/>
      <c r="K895" s="74"/>
    </row>
    <row r="896" spans="1:11" ht="15.75">
      <c r="A896" s="42"/>
      <c r="B896" s="43" t="s">
        <v>5</v>
      </c>
      <c r="C896" s="44"/>
      <c r="D896" s="45"/>
      <c r="E896" s="46"/>
      <c r="F896" s="133"/>
      <c r="G896" s="156">
        <f>SUM(G889:G895)</f>
        <v>623921160</v>
      </c>
      <c r="H896" s="261"/>
      <c r="J896" s="74"/>
      <c r="K896" s="74"/>
    </row>
    <row r="897" spans="1:11" ht="270.75" customHeight="1">
      <c r="A897" s="54">
        <v>59</v>
      </c>
      <c r="B897" s="55" t="s">
        <v>331</v>
      </c>
      <c r="C897" s="30" t="s">
        <v>332</v>
      </c>
      <c r="D897" s="37" t="s">
        <v>20</v>
      </c>
      <c r="E897" s="60">
        <f>3.55*2.4</f>
        <v>8.52</v>
      </c>
      <c r="F897" s="130">
        <f>4820000*40%</f>
        <v>1928000</v>
      </c>
      <c r="G897" s="125">
        <f>F897*E897</f>
        <v>16426560</v>
      </c>
      <c r="H897" s="213" t="s">
        <v>904</v>
      </c>
      <c r="J897" s="74"/>
      <c r="K897" s="74"/>
    </row>
    <row r="898" spans="1:11" ht="47.25">
      <c r="A898" s="61"/>
      <c r="B898" s="30" t="s">
        <v>537</v>
      </c>
      <c r="C898" s="29" t="s">
        <v>334</v>
      </c>
      <c r="D898" s="37" t="s">
        <v>32</v>
      </c>
      <c r="E898" s="60">
        <f>3.4*2.4*0.3</f>
        <v>2.448</v>
      </c>
      <c r="F898" s="125">
        <v>7030000</v>
      </c>
      <c r="G898" s="125">
        <f>F898*E898</f>
        <v>17209440</v>
      </c>
      <c r="H898" s="106" t="s">
        <v>488</v>
      </c>
      <c r="J898" s="74"/>
      <c r="K898" s="74"/>
    </row>
    <row r="899" spans="1:11" ht="45">
      <c r="A899" s="61"/>
      <c r="B899" s="62" t="s">
        <v>333</v>
      </c>
      <c r="C899" s="48" t="s">
        <v>169</v>
      </c>
      <c r="D899" s="37" t="s">
        <v>32</v>
      </c>
      <c r="E899" s="60">
        <f>2.63*3*2</f>
        <v>15.78</v>
      </c>
      <c r="F899" s="130">
        <f>1684000</f>
        <v>1684000</v>
      </c>
      <c r="G899" s="125">
        <f>F899*E899</f>
        <v>26573520</v>
      </c>
      <c r="H899" s="105" t="s">
        <v>474</v>
      </c>
      <c r="J899" s="74"/>
      <c r="K899" s="74"/>
    </row>
    <row r="900" spans="1:11" ht="15.75">
      <c r="A900" s="42"/>
      <c r="B900" s="43" t="s">
        <v>5</v>
      </c>
      <c r="C900" s="44"/>
      <c r="D900" s="45"/>
      <c r="E900" s="46"/>
      <c r="F900" s="133"/>
      <c r="G900" s="156">
        <f>SUM(G897:G899)</f>
        <v>60209520</v>
      </c>
      <c r="H900" s="261"/>
      <c r="J900" s="74"/>
      <c r="K900" s="74"/>
    </row>
    <row r="901" spans="1:11" ht="31.5">
      <c r="A901" s="54">
        <v>60</v>
      </c>
      <c r="B901" s="55" t="s">
        <v>335</v>
      </c>
      <c r="C901" s="29" t="s">
        <v>671</v>
      </c>
      <c r="D901" s="37" t="s">
        <v>20</v>
      </c>
      <c r="E901" s="57">
        <v>11.1</v>
      </c>
      <c r="F901" s="125"/>
      <c r="G901" s="125"/>
      <c r="H901" s="105"/>
      <c r="J901" s="74"/>
      <c r="K901" s="74"/>
    </row>
    <row r="902" spans="1:11" ht="15.75">
      <c r="A902" s="54"/>
      <c r="B902" s="62" t="s">
        <v>17</v>
      </c>
      <c r="C902" s="29" t="s">
        <v>195</v>
      </c>
      <c r="D902" s="37"/>
      <c r="E902" s="84"/>
      <c r="F902" s="125"/>
      <c r="G902" s="125"/>
      <c r="H902" s="105"/>
      <c r="J902" s="74"/>
      <c r="K902" s="74"/>
    </row>
    <row r="903" spans="1:11" ht="47.25">
      <c r="A903" s="54"/>
      <c r="B903" s="30" t="s">
        <v>538</v>
      </c>
      <c r="C903" s="29" t="s">
        <v>804</v>
      </c>
      <c r="D903" s="37" t="s">
        <v>20</v>
      </c>
      <c r="E903" s="84">
        <v>8</v>
      </c>
      <c r="F903" s="125"/>
      <c r="G903" s="125"/>
      <c r="H903" s="105" t="s">
        <v>805</v>
      </c>
      <c r="J903" s="74"/>
      <c r="K903" s="74"/>
    </row>
    <row r="904" spans="1:11" ht="78.75" customHeight="1">
      <c r="A904" s="54"/>
      <c r="B904" s="62" t="s">
        <v>337</v>
      </c>
      <c r="C904" s="48" t="s">
        <v>806</v>
      </c>
      <c r="D904" s="37" t="s">
        <v>20</v>
      </c>
      <c r="E904" s="84">
        <v>3.0999999999999996</v>
      </c>
      <c r="F904" s="125">
        <v>33958000</v>
      </c>
      <c r="G904" s="125">
        <f>F904*E904</f>
        <v>105269799.99999999</v>
      </c>
      <c r="H904" s="105"/>
      <c r="J904" s="74"/>
      <c r="K904" s="74"/>
    </row>
    <row r="905" spans="1:11" ht="63">
      <c r="A905" s="61"/>
      <c r="B905" s="62"/>
      <c r="C905" s="30" t="s">
        <v>336</v>
      </c>
      <c r="D905" s="37" t="s">
        <v>20</v>
      </c>
      <c r="E905" s="60">
        <f>4*3.7</f>
        <v>14.8</v>
      </c>
      <c r="F905" s="130">
        <f>3230000-150000</f>
        <v>3080000</v>
      </c>
      <c r="G905" s="125">
        <f>F905*E905</f>
        <v>45584000</v>
      </c>
      <c r="H905" s="106" t="s">
        <v>768</v>
      </c>
      <c r="J905" s="74"/>
      <c r="K905" s="74"/>
    </row>
    <row r="906" spans="1:11" ht="30">
      <c r="A906" s="61"/>
      <c r="B906" s="30"/>
      <c r="C906" s="48" t="s">
        <v>1161</v>
      </c>
      <c r="D906" s="37" t="s">
        <v>20</v>
      </c>
      <c r="E906" s="50">
        <f>3.7*1</f>
        <v>3.7</v>
      </c>
      <c r="F906" s="125">
        <f>125000*40%</f>
        <v>50000</v>
      </c>
      <c r="G906" s="125">
        <f>F906*E906</f>
        <v>185000</v>
      </c>
      <c r="H906" s="106" t="s">
        <v>1146</v>
      </c>
      <c r="J906" s="74"/>
      <c r="K906" s="74"/>
    </row>
    <row r="907" spans="1:11" ht="15.75">
      <c r="A907" s="42"/>
      <c r="B907" s="43" t="s">
        <v>5</v>
      </c>
      <c r="C907" s="44"/>
      <c r="D907" s="45"/>
      <c r="E907" s="46"/>
      <c r="F907" s="133"/>
      <c r="G907" s="156">
        <f>SUM(G901:G906)</f>
        <v>151038800</v>
      </c>
      <c r="H907" s="261"/>
      <c r="J907" s="74"/>
      <c r="K907" s="74"/>
    </row>
    <row r="908" spans="1:11" ht="31.5">
      <c r="A908" s="54">
        <v>61</v>
      </c>
      <c r="B908" s="55" t="s">
        <v>338</v>
      </c>
      <c r="C908" s="29" t="s">
        <v>672</v>
      </c>
      <c r="D908" s="37" t="s">
        <v>20</v>
      </c>
      <c r="E908" s="57">
        <v>213.8</v>
      </c>
      <c r="F908" s="125"/>
      <c r="G908" s="125">
        <f>F908*E908</f>
        <v>0</v>
      </c>
      <c r="H908" s="105"/>
      <c r="J908" s="74"/>
      <c r="K908" s="74"/>
    </row>
    <row r="909" spans="1:11" ht="15.75">
      <c r="A909" s="54"/>
      <c r="B909" s="55" t="s">
        <v>980</v>
      </c>
      <c r="C909" s="29" t="s">
        <v>195</v>
      </c>
      <c r="D909" s="37"/>
      <c r="E909" s="84"/>
      <c r="F909" s="125"/>
      <c r="G909" s="125"/>
      <c r="H909" s="105"/>
      <c r="J909" s="74"/>
      <c r="K909" s="74"/>
    </row>
    <row r="910" spans="1:11" ht="126.75" customHeight="1">
      <c r="A910" s="54"/>
      <c r="B910" s="30" t="s">
        <v>539</v>
      </c>
      <c r="C910" s="48" t="s">
        <v>959</v>
      </c>
      <c r="D910" s="37" t="s">
        <v>20</v>
      </c>
      <c r="E910" s="84">
        <v>213.8</v>
      </c>
      <c r="F910" s="125">
        <v>5205600</v>
      </c>
      <c r="G910" s="125">
        <f>F910*E910</f>
        <v>1112957280</v>
      </c>
      <c r="H910" s="105"/>
      <c r="J910" s="74"/>
      <c r="K910" s="74"/>
    </row>
    <row r="911" spans="1:11" ht="86.25" customHeight="1">
      <c r="A911" s="61"/>
      <c r="B911" s="62" t="s">
        <v>341</v>
      </c>
      <c r="C911" s="30" t="s">
        <v>339</v>
      </c>
      <c r="D911" s="37" t="s">
        <v>20</v>
      </c>
      <c r="E911" s="60">
        <f>(4.44*15.6)+(((7.73+6.2)/2)*5.3)</f>
        <v>106.17850000000001</v>
      </c>
      <c r="F911" s="130">
        <f>3230000-(10%*3230000)</f>
        <v>2907000</v>
      </c>
      <c r="G911" s="125">
        <f>F911*E911</f>
        <v>308660899.50000006</v>
      </c>
      <c r="H911" s="106" t="s">
        <v>482</v>
      </c>
      <c r="J911" s="74"/>
      <c r="K911" s="74"/>
    </row>
    <row r="912" spans="1:11" ht="31.5">
      <c r="A912" s="61"/>
      <c r="B912" s="30"/>
      <c r="C912" s="48" t="s">
        <v>340</v>
      </c>
      <c r="D912" s="37" t="s">
        <v>20</v>
      </c>
      <c r="E912" s="50">
        <f>(4.3*6.85)+(7.8*2.04)</f>
        <v>45.367</v>
      </c>
      <c r="F912" s="125">
        <v>498000</v>
      </c>
      <c r="G912" s="125">
        <f aca="true" t="shared" si="38" ref="G912:G933">F912*E912</f>
        <v>22592766</v>
      </c>
      <c r="H912" s="106"/>
      <c r="J912" s="74"/>
      <c r="K912" s="74"/>
    </row>
    <row r="913" spans="1:11" ht="40.5" customHeight="1">
      <c r="A913" s="61"/>
      <c r="B913" s="62"/>
      <c r="C913" s="48" t="s">
        <v>40</v>
      </c>
      <c r="D913" s="37" t="s">
        <v>20</v>
      </c>
      <c r="E913" s="50">
        <f>4.4*2</f>
        <v>8.8</v>
      </c>
      <c r="F913" s="125">
        <v>498000</v>
      </c>
      <c r="G913" s="125">
        <f t="shared" si="38"/>
        <v>4382400</v>
      </c>
      <c r="H913" s="106"/>
      <c r="J913" s="74"/>
      <c r="K913" s="74"/>
    </row>
    <row r="914" spans="1:11" ht="31.5">
      <c r="A914" s="61"/>
      <c r="B914" s="62"/>
      <c r="C914" s="48" t="s">
        <v>342</v>
      </c>
      <c r="D914" s="37" t="s">
        <v>20</v>
      </c>
      <c r="E914" s="50">
        <f>(15.6*3)+(1.6*8.1)</f>
        <v>59.76</v>
      </c>
      <c r="F914" s="125">
        <v>498000</v>
      </c>
      <c r="G914" s="125">
        <f t="shared" si="38"/>
        <v>29760480</v>
      </c>
      <c r="H914" s="106"/>
      <c r="J914" s="74"/>
      <c r="K914" s="74"/>
    </row>
    <row r="915" spans="1:11" ht="18.75">
      <c r="A915" s="61"/>
      <c r="B915" s="62"/>
      <c r="C915" s="29" t="s">
        <v>36</v>
      </c>
      <c r="D915" s="37" t="s">
        <v>20</v>
      </c>
      <c r="E915" s="50">
        <f>3*5.2</f>
        <v>15.600000000000001</v>
      </c>
      <c r="F915" s="125">
        <v>125000</v>
      </c>
      <c r="G915" s="125">
        <f t="shared" si="38"/>
        <v>1950000.0000000002</v>
      </c>
      <c r="H915" s="106"/>
      <c r="J915" s="74"/>
      <c r="K915" s="74"/>
    </row>
    <row r="916" spans="1:11" ht="15.75">
      <c r="A916" s="61"/>
      <c r="B916" s="62"/>
      <c r="C916" s="29" t="s">
        <v>883</v>
      </c>
      <c r="D916" s="64" t="s">
        <v>210</v>
      </c>
      <c r="E916" s="50">
        <v>15.6</v>
      </c>
      <c r="F916" s="125">
        <v>44770</v>
      </c>
      <c r="G916" s="125">
        <f t="shared" si="38"/>
        <v>698412</v>
      </c>
      <c r="H916" s="105" t="s">
        <v>903</v>
      </c>
      <c r="J916" s="74"/>
      <c r="K916" s="74"/>
    </row>
    <row r="917" spans="1:11" ht="36" customHeight="1">
      <c r="A917" s="61"/>
      <c r="B917" s="62"/>
      <c r="C917" s="29" t="s">
        <v>884</v>
      </c>
      <c r="D917" s="64" t="s">
        <v>210</v>
      </c>
      <c r="E917" s="50">
        <v>70</v>
      </c>
      <c r="F917" s="125">
        <v>13640</v>
      </c>
      <c r="G917" s="125">
        <f t="shared" si="38"/>
        <v>954800</v>
      </c>
      <c r="H917" s="105" t="s">
        <v>903</v>
      </c>
      <c r="J917" s="74"/>
      <c r="K917" s="74"/>
    </row>
    <row r="918" spans="1:11" ht="36" customHeight="1">
      <c r="A918" s="61"/>
      <c r="B918" s="62"/>
      <c r="C918" s="29" t="s">
        <v>39</v>
      </c>
      <c r="D918" s="37" t="s">
        <v>20</v>
      </c>
      <c r="E918" s="50">
        <f>15*1.5</f>
        <v>22.5</v>
      </c>
      <c r="F918" s="125">
        <v>110000</v>
      </c>
      <c r="G918" s="125">
        <f t="shared" si="38"/>
        <v>2475000</v>
      </c>
      <c r="H918" s="106"/>
      <c r="J918" s="74"/>
      <c r="K918" s="74"/>
    </row>
    <row r="919" spans="1:11" ht="18.75">
      <c r="A919" s="61"/>
      <c r="B919" s="62"/>
      <c r="C919" s="29" t="s">
        <v>169</v>
      </c>
      <c r="D919" s="37" t="s">
        <v>32</v>
      </c>
      <c r="E919" s="50">
        <f>(1*2*2)</f>
        <v>4</v>
      </c>
      <c r="F919" s="130">
        <f>1684000</f>
        <v>1684000</v>
      </c>
      <c r="G919" s="125">
        <f t="shared" si="38"/>
        <v>6736000</v>
      </c>
      <c r="H919" s="106"/>
      <c r="J919" s="74"/>
      <c r="K919" s="74"/>
    </row>
    <row r="920" spans="1:11" ht="15.75">
      <c r="A920" s="61"/>
      <c r="B920" s="62"/>
      <c r="C920" s="29" t="s">
        <v>848</v>
      </c>
      <c r="D920" s="49" t="s">
        <v>37</v>
      </c>
      <c r="E920" s="50">
        <v>10</v>
      </c>
      <c r="F920" s="125">
        <v>40000</v>
      </c>
      <c r="G920" s="125">
        <f t="shared" si="38"/>
        <v>400000</v>
      </c>
      <c r="H920" s="106" t="s">
        <v>187</v>
      </c>
      <c r="J920" s="74"/>
      <c r="K920" s="74"/>
    </row>
    <row r="921" spans="1:11" ht="15.75">
      <c r="A921" s="61"/>
      <c r="B921" s="62"/>
      <c r="C921" s="29" t="s">
        <v>847</v>
      </c>
      <c r="D921" s="49" t="s">
        <v>37</v>
      </c>
      <c r="E921" s="50">
        <v>46</v>
      </c>
      <c r="F921" s="125">
        <v>20000</v>
      </c>
      <c r="G921" s="125">
        <f t="shared" si="38"/>
        <v>920000</v>
      </c>
      <c r="H921" s="106" t="s">
        <v>187</v>
      </c>
      <c r="J921" s="74"/>
      <c r="K921" s="74"/>
    </row>
    <row r="922" spans="1:11" ht="18.75">
      <c r="A922" s="61"/>
      <c r="B922" s="62"/>
      <c r="C922" s="29" t="s">
        <v>1093</v>
      </c>
      <c r="D922" s="37" t="s">
        <v>20</v>
      </c>
      <c r="E922" s="50">
        <v>10</v>
      </c>
      <c r="F922" s="125">
        <v>30000</v>
      </c>
      <c r="G922" s="125">
        <f t="shared" si="38"/>
        <v>300000</v>
      </c>
      <c r="H922" s="106"/>
      <c r="J922" s="74"/>
      <c r="K922" s="74"/>
    </row>
    <row r="923" spans="1:11" ht="15.75">
      <c r="A923" s="61"/>
      <c r="B923" s="62"/>
      <c r="C923" s="29" t="s">
        <v>1041</v>
      </c>
      <c r="D923" s="49" t="s">
        <v>43</v>
      </c>
      <c r="E923" s="50">
        <v>1</v>
      </c>
      <c r="F923" s="125">
        <v>250000</v>
      </c>
      <c r="G923" s="125">
        <f t="shared" si="38"/>
        <v>250000</v>
      </c>
      <c r="H923" s="106"/>
      <c r="J923" s="74"/>
      <c r="K923" s="74"/>
    </row>
    <row r="924" spans="1:11" ht="15.75">
      <c r="A924" s="61"/>
      <c r="B924" s="62"/>
      <c r="C924" s="29" t="s">
        <v>1094</v>
      </c>
      <c r="D924" s="49" t="s">
        <v>43</v>
      </c>
      <c r="E924" s="50">
        <v>1</v>
      </c>
      <c r="F924" s="125">
        <v>130000</v>
      </c>
      <c r="G924" s="125">
        <f t="shared" si="38"/>
        <v>130000</v>
      </c>
      <c r="H924" s="106"/>
      <c r="J924" s="74"/>
      <c r="K924" s="74"/>
    </row>
    <row r="925" spans="1:11" ht="15.75">
      <c r="A925" s="61"/>
      <c r="B925" s="62"/>
      <c r="C925" s="29" t="s">
        <v>1095</v>
      </c>
      <c r="D925" s="49" t="s">
        <v>43</v>
      </c>
      <c r="E925" s="50">
        <v>1</v>
      </c>
      <c r="F925" s="125">
        <v>240000</v>
      </c>
      <c r="G925" s="125">
        <f t="shared" si="38"/>
        <v>240000</v>
      </c>
      <c r="H925" s="106"/>
      <c r="J925" s="74"/>
      <c r="K925" s="74"/>
    </row>
    <row r="926" spans="1:11" ht="15.75">
      <c r="A926" s="61"/>
      <c r="B926" s="62"/>
      <c r="C926" s="29" t="s">
        <v>1096</v>
      </c>
      <c r="D926" s="49" t="s">
        <v>43</v>
      </c>
      <c r="E926" s="50">
        <v>1</v>
      </c>
      <c r="F926" s="125">
        <v>200000</v>
      </c>
      <c r="G926" s="125">
        <f t="shared" si="38"/>
        <v>200000</v>
      </c>
      <c r="H926" s="106"/>
      <c r="J926" s="74"/>
      <c r="K926" s="74"/>
    </row>
    <row r="927" spans="1:11" ht="15.75">
      <c r="A927" s="61"/>
      <c r="B927" s="62"/>
      <c r="C927" s="29" t="s">
        <v>866</v>
      </c>
      <c r="D927" s="49" t="s">
        <v>43</v>
      </c>
      <c r="E927" s="50">
        <v>8</v>
      </c>
      <c r="F927" s="125">
        <v>100000</v>
      </c>
      <c r="G927" s="125">
        <f t="shared" si="38"/>
        <v>800000</v>
      </c>
      <c r="H927" s="106"/>
      <c r="J927" s="74"/>
      <c r="K927" s="74"/>
    </row>
    <row r="928" spans="1:11" ht="15.75">
      <c r="A928" s="61"/>
      <c r="B928" s="62"/>
      <c r="C928" s="29" t="s">
        <v>1097</v>
      </c>
      <c r="D928" s="49" t="s">
        <v>43</v>
      </c>
      <c r="E928" s="50">
        <v>30</v>
      </c>
      <c r="F928" s="125">
        <v>40000</v>
      </c>
      <c r="G928" s="125">
        <f t="shared" si="38"/>
        <v>1200000</v>
      </c>
      <c r="H928" s="106"/>
      <c r="J928" s="74"/>
      <c r="K928" s="74"/>
    </row>
    <row r="929" spans="1:11" ht="15.75">
      <c r="A929" s="61"/>
      <c r="B929" s="62"/>
      <c r="C929" s="29" t="s">
        <v>867</v>
      </c>
      <c r="D929" s="49" t="s">
        <v>43</v>
      </c>
      <c r="E929" s="50">
        <v>1</v>
      </c>
      <c r="F929" s="125">
        <v>60000</v>
      </c>
      <c r="G929" s="125">
        <f>F929*E929</f>
        <v>60000</v>
      </c>
      <c r="H929" s="106"/>
      <c r="J929" s="74"/>
      <c r="K929" s="74"/>
    </row>
    <row r="930" spans="1:11" ht="18.75">
      <c r="A930" s="61"/>
      <c r="B930" s="62"/>
      <c r="C930" s="29" t="s">
        <v>142</v>
      </c>
      <c r="D930" s="37" t="s">
        <v>20</v>
      </c>
      <c r="E930" s="50">
        <v>3</v>
      </c>
      <c r="F930" s="125">
        <v>12000</v>
      </c>
      <c r="G930" s="125">
        <f t="shared" si="38"/>
        <v>36000</v>
      </c>
      <c r="H930" s="106"/>
      <c r="J930" s="74"/>
      <c r="K930" s="74"/>
    </row>
    <row r="931" spans="1:11" ht="18.75">
      <c r="A931" s="61"/>
      <c r="B931" s="62"/>
      <c r="C931" s="29" t="s">
        <v>177</v>
      </c>
      <c r="D931" s="37" t="s">
        <v>20</v>
      </c>
      <c r="E931" s="50">
        <v>0.5</v>
      </c>
      <c r="F931" s="125">
        <v>6000</v>
      </c>
      <c r="G931" s="125">
        <f t="shared" si="38"/>
        <v>3000</v>
      </c>
      <c r="H931" s="106"/>
      <c r="J931" s="74"/>
      <c r="K931" s="74"/>
    </row>
    <row r="932" spans="1:11" ht="15.75">
      <c r="A932" s="61"/>
      <c r="B932" s="62"/>
      <c r="C932" s="29" t="s">
        <v>1098</v>
      </c>
      <c r="D932" s="49" t="s">
        <v>343</v>
      </c>
      <c r="E932" s="50">
        <v>5</v>
      </c>
      <c r="F932" s="125">
        <v>575000</v>
      </c>
      <c r="G932" s="125">
        <f t="shared" si="38"/>
        <v>2875000</v>
      </c>
      <c r="H932" s="106"/>
      <c r="J932" s="74"/>
      <c r="K932" s="74"/>
    </row>
    <row r="933" spans="1:11" ht="15.75">
      <c r="A933" s="61"/>
      <c r="B933" s="30"/>
      <c r="C933" s="29" t="s">
        <v>1053</v>
      </c>
      <c r="D933" s="64" t="s">
        <v>43</v>
      </c>
      <c r="E933" s="60">
        <v>1</v>
      </c>
      <c r="F933" s="125">
        <v>200000</v>
      </c>
      <c r="G933" s="125">
        <f t="shared" si="38"/>
        <v>200000</v>
      </c>
      <c r="H933" s="106"/>
      <c r="J933" s="74"/>
      <c r="K933" s="74"/>
    </row>
    <row r="934" spans="1:11" ht="15.75">
      <c r="A934" s="42"/>
      <c r="B934" s="43" t="s">
        <v>5</v>
      </c>
      <c r="C934" s="44"/>
      <c r="D934" s="45"/>
      <c r="E934" s="46"/>
      <c r="F934" s="133"/>
      <c r="G934" s="156">
        <f>SUM(G908:G933)</f>
        <v>1498782037.5</v>
      </c>
      <c r="H934" s="261"/>
      <c r="J934" s="74"/>
      <c r="K934" s="74"/>
    </row>
    <row r="935" spans="1:11" ht="31.5">
      <c r="A935" s="54">
        <v>62</v>
      </c>
      <c r="B935" s="55" t="s">
        <v>344</v>
      </c>
      <c r="C935" s="29" t="s">
        <v>673</v>
      </c>
      <c r="D935" s="37" t="s">
        <v>20</v>
      </c>
      <c r="E935" s="57">
        <v>160</v>
      </c>
      <c r="F935" s="125"/>
      <c r="G935" s="125">
        <f>F935*E935</f>
        <v>0</v>
      </c>
      <c r="H935" s="105"/>
      <c r="J935" s="74"/>
      <c r="K935" s="74"/>
    </row>
    <row r="936" spans="1:11" ht="15.75">
      <c r="A936" s="54"/>
      <c r="B936" s="62" t="s">
        <v>345</v>
      </c>
      <c r="C936" s="29" t="s">
        <v>195</v>
      </c>
      <c r="D936" s="37"/>
      <c r="E936" s="84"/>
      <c r="F936" s="125"/>
      <c r="G936" s="125"/>
      <c r="H936" s="105"/>
      <c r="J936" s="74"/>
      <c r="K936" s="74"/>
    </row>
    <row r="937" spans="1:11" ht="114" customHeight="1">
      <c r="A937" s="54"/>
      <c r="B937" s="30" t="s">
        <v>540</v>
      </c>
      <c r="C937" s="29" t="s">
        <v>897</v>
      </c>
      <c r="D937" s="37" t="s">
        <v>20</v>
      </c>
      <c r="E937" s="84">
        <v>160</v>
      </c>
      <c r="F937" s="125">
        <v>6791600</v>
      </c>
      <c r="G937" s="125">
        <f>F937*E937</f>
        <v>1086656000</v>
      </c>
      <c r="H937" s="105"/>
      <c r="J937" s="74"/>
      <c r="K937" s="74"/>
    </row>
    <row r="938" spans="1:11" ht="72" customHeight="1">
      <c r="A938" s="61"/>
      <c r="B938" s="62" t="s">
        <v>743</v>
      </c>
      <c r="C938" s="30" t="s">
        <v>346</v>
      </c>
      <c r="D938" s="37" t="s">
        <v>20</v>
      </c>
      <c r="E938" s="60">
        <f>4*14</f>
        <v>56</v>
      </c>
      <c r="F938" s="130">
        <f>3230000-(8%*3230000)</f>
        <v>2971600</v>
      </c>
      <c r="G938" s="125">
        <f>F938*E938</f>
        <v>166409600</v>
      </c>
      <c r="H938" s="106" t="s">
        <v>483</v>
      </c>
      <c r="J938" s="74"/>
      <c r="K938" s="74"/>
    </row>
    <row r="939" spans="1:11" ht="31.5">
      <c r="A939" s="61"/>
      <c r="B939" s="30"/>
      <c r="C939" s="48" t="s">
        <v>47</v>
      </c>
      <c r="D939" s="37" t="s">
        <v>20</v>
      </c>
      <c r="E939" s="50">
        <f>4*2</f>
        <v>8</v>
      </c>
      <c r="F939" s="125">
        <v>498000</v>
      </c>
      <c r="G939" s="125">
        <f>F939*E939</f>
        <v>3984000</v>
      </c>
      <c r="H939" s="106"/>
      <c r="J939" s="74"/>
      <c r="K939" s="74"/>
    </row>
    <row r="940" spans="1:11" ht="18" customHeight="1">
      <c r="A940" s="61"/>
      <c r="B940" s="62"/>
      <c r="C940" s="29" t="s">
        <v>868</v>
      </c>
      <c r="D940" s="49" t="s">
        <v>43</v>
      </c>
      <c r="E940" s="50">
        <v>2</v>
      </c>
      <c r="F940" s="125">
        <v>600000</v>
      </c>
      <c r="G940" s="125">
        <f>F940*E940</f>
        <v>1200000</v>
      </c>
      <c r="H940" s="106"/>
      <c r="J940" s="74"/>
      <c r="K940" s="74"/>
    </row>
    <row r="941" spans="1:11" ht="18" customHeight="1">
      <c r="A941" s="42"/>
      <c r="B941" s="43" t="s">
        <v>5</v>
      </c>
      <c r="C941" s="44"/>
      <c r="D941" s="45"/>
      <c r="E941" s="46"/>
      <c r="F941" s="133"/>
      <c r="G941" s="156">
        <f>SUM(G935:G940)</f>
        <v>1258249600</v>
      </c>
      <c r="H941" s="261"/>
      <c r="J941" s="74"/>
      <c r="K941" s="74"/>
    </row>
    <row r="942" spans="1:11" ht="31.5">
      <c r="A942" s="54">
        <v>63</v>
      </c>
      <c r="B942" s="55" t="s">
        <v>347</v>
      </c>
      <c r="C942" s="29" t="s">
        <v>674</v>
      </c>
      <c r="D942" s="37" t="s">
        <v>20</v>
      </c>
      <c r="E942" s="57">
        <v>12.7</v>
      </c>
      <c r="F942" s="134"/>
      <c r="G942" s="134">
        <f>F942*E942</f>
        <v>0</v>
      </c>
      <c r="H942" s="259"/>
      <c r="J942" s="74"/>
      <c r="K942" s="74"/>
    </row>
    <row r="943" spans="1:11" ht="18.75" customHeight="1">
      <c r="A943" s="54"/>
      <c r="B943" s="55" t="s">
        <v>348</v>
      </c>
      <c r="C943" s="29" t="s">
        <v>195</v>
      </c>
      <c r="D943" s="37"/>
      <c r="E943" s="84"/>
      <c r="F943" s="125"/>
      <c r="G943" s="130"/>
      <c r="H943" s="105"/>
      <c r="J943" s="74"/>
      <c r="K943" s="74"/>
    </row>
    <row r="944" spans="1:11" ht="18.75" customHeight="1">
      <c r="A944" s="54"/>
      <c r="B944" s="55"/>
      <c r="C944" s="29" t="s">
        <v>804</v>
      </c>
      <c r="D944" s="37" t="s">
        <v>20</v>
      </c>
      <c r="E944" s="84">
        <v>8</v>
      </c>
      <c r="F944" s="125"/>
      <c r="G944" s="130"/>
      <c r="H944" s="105" t="s">
        <v>805</v>
      </c>
      <c r="J944" s="74"/>
      <c r="K944" s="74"/>
    </row>
    <row r="945" spans="1:11" ht="76.5" customHeight="1">
      <c r="A945" s="54"/>
      <c r="B945" s="30" t="s">
        <v>541</v>
      </c>
      <c r="C945" s="48" t="s">
        <v>806</v>
      </c>
      <c r="D945" s="37" t="s">
        <v>20</v>
      </c>
      <c r="E945" s="60">
        <v>4.699999999999999</v>
      </c>
      <c r="F945" s="125">
        <v>33958000</v>
      </c>
      <c r="G945" s="130">
        <f>F945*E945</f>
        <v>159602599.99999997</v>
      </c>
      <c r="H945" s="105"/>
      <c r="J945" s="74"/>
      <c r="K945" s="74"/>
    </row>
    <row r="946" spans="1:11" ht="38.25" customHeight="1">
      <c r="A946" s="54"/>
      <c r="B946" s="62" t="s">
        <v>349</v>
      </c>
      <c r="C946" s="29" t="s">
        <v>1162</v>
      </c>
      <c r="D946" s="37" t="s">
        <v>20</v>
      </c>
      <c r="E946" s="84">
        <f>(4+4)*1.8</f>
        <v>14.4</v>
      </c>
      <c r="F946" s="125">
        <f>110000*40%</f>
        <v>44000</v>
      </c>
      <c r="G946" s="130">
        <f>F946*E946</f>
        <v>633600</v>
      </c>
      <c r="H946" s="105" t="s">
        <v>906</v>
      </c>
      <c r="J946" s="74"/>
      <c r="K946" s="74"/>
    </row>
    <row r="947" spans="1:11" ht="39" customHeight="1">
      <c r="A947" s="54"/>
      <c r="B947" s="62"/>
      <c r="C947" s="30" t="s">
        <v>1163</v>
      </c>
      <c r="D947" s="37" t="s">
        <v>20</v>
      </c>
      <c r="E947" s="60">
        <f>2*4</f>
        <v>8</v>
      </c>
      <c r="F947" s="125">
        <f>125000*40%</f>
        <v>50000</v>
      </c>
      <c r="G947" s="130">
        <f>F947*E947</f>
        <v>400000</v>
      </c>
      <c r="H947" s="105" t="s">
        <v>901</v>
      </c>
      <c r="J947" s="74"/>
      <c r="K947" s="74"/>
    </row>
    <row r="948" spans="1:11" ht="15.75">
      <c r="A948" s="42"/>
      <c r="B948" s="201" t="s">
        <v>5</v>
      </c>
      <c r="C948" s="44"/>
      <c r="D948" s="45"/>
      <c r="E948" s="46"/>
      <c r="F948" s="133"/>
      <c r="G948" s="156">
        <f>SUM(G942:G947)</f>
        <v>160636199.99999997</v>
      </c>
      <c r="H948" s="261"/>
      <c r="J948" s="74"/>
      <c r="K948" s="74"/>
    </row>
    <row r="949" spans="1:11" ht="56.25" customHeight="1">
      <c r="A949" s="54">
        <v>64</v>
      </c>
      <c r="B949" s="55" t="s">
        <v>350</v>
      </c>
      <c r="C949" s="29" t="s">
        <v>981</v>
      </c>
      <c r="D949" s="37" t="s">
        <v>20</v>
      </c>
      <c r="E949" s="57">
        <v>4</v>
      </c>
      <c r="F949" s="125"/>
      <c r="G949" s="125">
        <f>F949*E949</f>
        <v>0</v>
      </c>
      <c r="H949" s="105"/>
      <c r="J949" s="74"/>
      <c r="K949" s="74"/>
    </row>
    <row r="950" spans="1:11" ht="15.75">
      <c r="A950" s="54"/>
      <c r="B950" s="62" t="s">
        <v>351</v>
      </c>
      <c r="C950" s="29" t="s">
        <v>195</v>
      </c>
      <c r="D950" s="37"/>
      <c r="E950" s="84"/>
      <c r="F950" s="125"/>
      <c r="G950" s="125"/>
      <c r="H950" s="105"/>
      <c r="J950" s="74"/>
      <c r="K950" s="74"/>
    </row>
    <row r="951" spans="1:11" ht="51.75" customHeight="1">
      <c r="A951" s="54"/>
      <c r="B951" s="30" t="s">
        <v>542</v>
      </c>
      <c r="C951" s="29" t="s">
        <v>804</v>
      </c>
      <c r="D951" s="37" t="s">
        <v>20</v>
      </c>
      <c r="E951" s="84">
        <v>3.4</v>
      </c>
      <c r="F951" s="125"/>
      <c r="G951" s="125"/>
      <c r="H951" s="105" t="s">
        <v>805</v>
      </c>
      <c r="J951" s="74"/>
      <c r="K951" s="74"/>
    </row>
    <row r="952" spans="1:11" ht="76.5" customHeight="1">
      <c r="A952" s="54"/>
      <c r="B952" s="217"/>
      <c r="C952" s="48" t="s">
        <v>806</v>
      </c>
      <c r="D952" s="37" t="s">
        <v>20</v>
      </c>
      <c r="E952" s="84">
        <v>0.6</v>
      </c>
      <c r="F952" s="125">
        <v>33958000</v>
      </c>
      <c r="G952" s="125">
        <f>F952*E952</f>
        <v>20374800</v>
      </c>
      <c r="H952" s="105"/>
      <c r="J952" s="74"/>
      <c r="K952" s="74"/>
    </row>
    <row r="953" spans="1:11" ht="33">
      <c r="A953" s="61"/>
      <c r="B953" s="62"/>
      <c r="C953" s="30" t="s">
        <v>1164</v>
      </c>
      <c r="D953" s="37" t="s">
        <v>20</v>
      </c>
      <c r="E953" s="60">
        <f>8*1.8</f>
        <v>14.4</v>
      </c>
      <c r="F953" s="125">
        <f>325000*40%</f>
        <v>130000</v>
      </c>
      <c r="G953" s="125">
        <f>F953*E953</f>
        <v>1872000</v>
      </c>
      <c r="H953" s="105" t="s">
        <v>908</v>
      </c>
      <c r="J953" s="74"/>
      <c r="K953" s="74"/>
    </row>
    <row r="954" spans="1:11" ht="33">
      <c r="A954" s="61"/>
      <c r="B954" s="30"/>
      <c r="C954" s="48" t="s">
        <v>1165</v>
      </c>
      <c r="D954" s="37" t="s">
        <v>20</v>
      </c>
      <c r="E954" s="50">
        <f>4*2</f>
        <v>8</v>
      </c>
      <c r="F954" s="125">
        <f>240000*40%</f>
        <v>96000</v>
      </c>
      <c r="G954" s="125">
        <f>F954*E954</f>
        <v>768000</v>
      </c>
      <c r="H954" s="105" t="s">
        <v>909</v>
      </c>
      <c r="J954" s="74"/>
      <c r="K954" s="74"/>
    </row>
    <row r="955" spans="1:11" ht="15.75">
      <c r="A955" s="42"/>
      <c r="B955" s="43" t="s">
        <v>5</v>
      </c>
      <c r="C955" s="44"/>
      <c r="D955" s="45"/>
      <c r="E955" s="46"/>
      <c r="F955" s="133"/>
      <c r="G955" s="156">
        <f>SUM(G949:G954)</f>
        <v>23014800</v>
      </c>
      <c r="H955" s="261"/>
      <c r="J955" s="74"/>
      <c r="K955" s="74"/>
    </row>
    <row r="956" spans="1:11" ht="31.5">
      <c r="A956" s="54">
        <v>65</v>
      </c>
      <c r="B956" s="55" t="s">
        <v>352</v>
      </c>
      <c r="C956" s="29" t="s">
        <v>676</v>
      </c>
      <c r="D956" s="37" t="s">
        <v>20</v>
      </c>
      <c r="E956" s="57">
        <v>77.8</v>
      </c>
      <c r="F956" s="125"/>
      <c r="G956" s="125"/>
      <c r="H956" s="105"/>
      <c r="J956" s="74"/>
      <c r="K956" s="74"/>
    </row>
    <row r="957" spans="1:11" ht="15.75">
      <c r="A957" s="54"/>
      <c r="B957" s="55" t="s">
        <v>675</v>
      </c>
      <c r="C957" s="29" t="s">
        <v>195</v>
      </c>
      <c r="D957" s="37"/>
      <c r="E957" s="84"/>
      <c r="F957" s="125"/>
      <c r="G957" s="125"/>
      <c r="H957" s="105"/>
      <c r="J957" s="74"/>
      <c r="K957" s="74"/>
    </row>
    <row r="958" spans="1:11" ht="30">
      <c r="A958" s="54"/>
      <c r="B958" s="55"/>
      <c r="C958" s="29" t="s">
        <v>804</v>
      </c>
      <c r="D958" s="37" t="s">
        <v>20</v>
      </c>
      <c r="E958" s="84">
        <v>13.2</v>
      </c>
      <c r="F958" s="125"/>
      <c r="G958" s="125"/>
      <c r="H958" s="105" t="s">
        <v>805</v>
      </c>
      <c r="J958" s="74"/>
      <c r="K958" s="74"/>
    </row>
    <row r="959" spans="1:11" ht="103.5" customHeight="1">
      <c r="A959" s="54"/>
      <c r="B959" s="30" t="s">
        <v>982</v>
      </c>
      <c r="C959" s="29" t="s">
        <v>896</v>
      </c>
      <c r="D959" s="37" t="s">
        <v>20</v>
      </c>
      <c r="E959" s="77">
        <v>64.6</v>
      </c>
      <c r="F959" s="125">
        <v>6791600</v>
      </c>
      <c r="G959" s="125">
        <f>F959*E959</f>
        <v>438737359.99999994</v>
      </c>
      <c r="H959" s="105"/>
      <c r="J959" s="74"/>
      <c r="K959" s="74"/>
    </row>
    <row r="960" spans="1:11" ht="31.5">
      <c r="A960" s="54"/>
      <c r="B960" s="62" t="s">
        <v>353</v>
      </c>
      <c r="C960" s="29" t="s">
        <v>677</v>
      </c>
      <c r="D960" s="37" t="s">
        <v>20</v>
      </c>
      <c r="E960" s="84">
        <v>89.7</v>
      </c>
      <c r="F960" s="125"/>
      <c r="G960" s="125"/>
      <c r="H960" s="105"/>
      <c r="J960" s="74"/>
      <c r="K960" s="74"/>
    </row>
    <row r="961" spans="1:11" ht="15.75">
      <c r="A961" s="54"/>
      <c r="B961" s="62"/>
      <c r="C961" s="29" t="s">
        <v>195</v>
      </c>
      <c r="D961" s="37"/>
      <c r="E961" s="84"/>
      <c r="F961" s="125"/>
      <c r="G961" s="125"/>
      <c r="H961" s="105"/>
      <c r="J961" s="74"/>
      <c r="K961" s="74"/>
    </row>
    <row r="962" spans="1:11" ht="30">
      <c r="A962" s="54"/>
      <c r="B962" s="62"/>
      <c r="C962" s="29" t="s">
        <v>804</v>
      </c>
      <c r="D962" s="37" t="s">
        <v>20</v>
      </c>
      <c r="E962" s="84">
        <v>13.1</v>
      </c>
      <c r="F962" s="125"/>
      <c r="G962" s="125"/>
      <c r="H962" s="105" t="s">
        <v>805</v>
      </c>
      <c r="J962" s="74"/>
      <c r="K962" s="74"/>
    </row>
    <row r="963" spans="1:11" ht="99" customHeight="1">
      <c r="A963" s="54"/>
      <c r="B963" s="55"/>
      <c r="C963" s="29" t="s">
        <v>896</v>
      </c>
      <c r="D963" s="37" t="s">
        <v>20</v>
      </c>
      <c r="E963" s="84">
        <v>76.60000000000001</v>
      </c>
      <c r="F963" s="125">
        <v>6791600</v>
      </c>
      <c r="G963" s="125">
        <f>F963*E963</f>
        <v>520236560.00000006</v>
      </c>
      <c r="H963" s="105"/>
      <c r="J963" s="74"/>
      <c r="K963" s="74"/>
    </row>
    <row r="964" spans="1:11" ht="15.75">
      <c r="A964" s="42"/>
      <c r="B964" s="43" t="s">
        <v>5</v>
      </c>
      <c r="C964" s="44"/>
      <c r="D964" s="45"/>
      <c r="E964" s="46"/>
      <c r="F964" s="133"/>
      <c r="G964" s="156">
        <f>SUM(G956:G963)</f>
        <v>958973920</v>
      </c>
      <c r="H964" s="261"/>
      <c r="J964" s="74"/>
      <c r="K964" s="74"/>
    </row>
    <row r="965" spans="1:11" ht="31.5">
      <c r="A965" s="54">
        <v>66</v>
      </c>
      <c r="B965" s="55" t="s">
        <v>354</v>
      </c>
      <c r="C965" s="29" t="s">
        <v>678</v>
      </c>
      <c r="D965" s="37" t="s">
        <v>20</v>
      </c>
      <c r="E965" s="57">
        <v>9.9</v>
      </c>
      <c r="F965" s="125"/>
      <c r="G965" s="125">
        <f>F965*E965</f>
        <v>0</v>
      </c>
      <c r="H965" s="105"/>
      <c r="J965" s="74"/>
      <c r="K965" s="74"/>
    </row>
    <row r="966" spans="1:11" ht="15.75">
      <c r="A966" s="54"/>
      <c r="B966" s="62" t="s">
        <v>355</v>
      </c>
      <c r="C966" s="29" t="s">
        <v>195</v>
      </c>
      <c r="D966" s="37"/>
      <c r="E966" s="84"/>
      <c r="F966" s="125"/>
      <c r="G966" s="125"/>
      <c r="H966" s="105"/>
      <c r="J966" s="74"/>
      <c r="K966" s="74"/>
    </row>
    <row r="967" spans="1:11" ht="27.75" customHeight="1">
      <c r="A967" s="54"/>
      <c r="B967" s="62"/>
      <c r="C967" s="29" t="s">
        <v>804</v>
      </c>
      <c r="D967" s="37" t="s">
        <v>20</v>
      </c>
      <c r="E967" s="84">
        <v>8</v>
      </c>
      <c r="F967" s="125"/>
      <c r="G967" s="125"/>
      <c r="H967" s="105" t="s">
        <v>805</v>
      </c>
      <c r="J967" s="74"/>
      <c r="K967" s="74"/>
    </row>
    <row r="968" spans="1:11" ht="77.25" customHeight="1">
      <c r="A968" s="54"/>
      <c r="B968" s="30" t="s">
        <v>543</v>
      </c>
      <c r="C968" s="48" t="s">
        <v>806</v>
      </c>
      <c r="D968" s="37" t="s">
        <v>20</v>
      </c>
      <c r="E968" s="84">
        <v>1.9000000000000004</v>
      </c>
      <c r="F968" s="125">
        <v>33958000</v>
      </c>
      <c r="G968" s="125">
        <f>F968*E968</f>
        <v>64520200.000000015</v>
      </c>
      <c r="H968" s="105"/>
      <c r="J968" s="74"/>
      <c r="K968" s="74"/>
    </row>
    <row r="969" spans="1:11" ht="101.25" customHeight="1">
      <c r="A969" s="61"/>
      <c r="B969" s="62" t="s">
        <v>357</v>
      </c>
      <c r="C969" s="30" t="s">
        <v>356</v>
      </c>
      <c r="D969" s="37" t="s">
        <v>20</v>
      </c>
      <c r="E969" s="60">
        <f>4*7.4</f>
        <v>29.6</v>
      </c>
      <c r="F969" s="130">
        <f>3230000-(8%*3230000)</f>
        <v>2971600</v>
      </c>
      <c r="G969" s="125">
        <f>F969*E969</f>
        <v>87959360</v>
      </c>
      <c r="H969" s="106" t="s">
        <v>1166</v>
      </c>
      <c r="J969" s="74"/>
      <c r="K969" s="74"/>
    </row>
    <row r="970" spans="1:11" ht="63.75" customHeight="1">
      <c r="A970" s="61"/>
      <c r="B970" s="30"/>
      <c r="C970" s="48" t="s">
        <v>1167</v>
      </c>
      <c r="D970" s="37" t="s">
        <v>20</v>
      </c>
      <c r="E970" s="50">
        <f>1.75*4</f>
        <v>7</v>
      </c>
      <c r="F970" s="125">
        <f>736000*40%</f>
        <v>294400</v>
      </c>
      <c r="G970" s="125">
        <f>F970*E970</f>
        <v>2060800</v>
      </c>
      <c r="H970" s="105" t="s">
        <v>910</v>
      </c>
      <c r="J970" s="74"/>
      <c r="K970" s="74"/>
    </row>
    <row r="971" spans="1:11" ht="24.75" customHeight="1">
      <c r="A971" s="61"/>
      <c r="B971" s="62"/>
      <c r="C971" s="29" t="s">
        <v>847</v>
      </c>
      <c r="D971" s="49" t="s">
        <v>37</v>
      </c>
      <c r="E971" s="50">
        <v>11</v>
      </c>
      <c r="F971" s="125">
        <v>20000</v>
      </c>
      <c r="G971" s="125">
        <f>F971*E971</f>
        <v>220000</v>
      </c>
      <c r="H971" s="106" t="s">
        <v>187</v>
      </c>
      <c r="J971" s="74"/>
      <c r="K971" s="74"/>
    </row>
    <row r="972" spans="1:11" ht="15.75">
      <c r="A972" s="42"/>
      <c r="B972" s="43" t="s">
        <v>5</v>
      </c>
      <c r="C972" s="44"/>
      <c r="D972" s="45"/>
      <c r="E972" s="46"/>
      <c r="F972" s="133"/>
      <c r="G972" s="156">
        <f>SUM(G965:G971)</f>
        <v>154760360</v>
      </c>
      <c r="H972" s="261"/>
      <c r="J972" s="74"/>
      <c r="K972" s="74"/>
    </row>
    <row r="973" spans="1:11" ht="31.5">
      <c r="A973" s="54">
        <v>67</v>
      </c>
      <c r="B973" s="55" t="s">
        <v>358</v>
      </c>
      <c r="C973" s="29" t="s">
        <v>680</v>
      </c>
      <c r="D973" s="37" t="s">
        <v>20</v>
      </c>
      <c r="E973" s="57">
        <v>147.9</v>
      </c>
      <c r="F973" s="125"/>
      <c r="G973" s="125">
        <f>F973*E973</f>
        <v>0</v>
      </c>
      <c r="H973" s="105"/>
      <c r="J973" s="74"/>
      <c r="K973" s="74"/>
    </row>
    <row r="974" spans="1:11" ht="15.75">
      <c r="A974" s="54"/>
      <c r="B974" s="62" t="s">
        <v>17</v>
      </c>
      <c r="C974" s="29" t="s">
        <v>195</v>
      </c>
      <c r="D974" s="37"/>
      <c r="E974" s="84"/>
      <c r="F974" s="125"/>
      <c r="G974" s="125"/>
      <c r="H974" s="105"/>
      <c r="J974" s="74"/>
      <c r="K974" s="74"/>
    </row>
    <row r="975" spans="1:11" ht="114" customHeight="1">
      <c r="A975" s="54"/>
      <c r="B975" s="30" t="s">
        <v>983</v>
      </c>
      <c r="C975" s="48" t="s">
        <v>958</v>
      </c>
      <c r="D975" s="37" t="s">
        <v>20</v>
      </c>
      <c r="E975" s="84">
        <v>147.9</v>
      </c>
      <c r="F975" s="125">
        <v>5205600</v>
      </c>
      <c r="G975" s="125">
        <f>F975*E975</f>
        <v>769908240</v>
      </c>
      <c r="H975" s="105"/>
      <c r="J975" s="74"/>
      <c r="K975" s="74"/>
    </row>
    <row r="976" spans="1:11" ht="20.25" customHeight="1">
      <c r="A976" s="61"/>
      <c r="B976" s="62" t="s">
        <v>359</v>
      </c>
      <c r="C976" s="30" t="s">
        <v>869</v>
      </c>
      <c r="D976" s="64" t="s">
        <v>43</v>
      </c>
      <c r="E976" s="60">
        <v>2</v>
      </c>
      <c r="F976" s="130">
        <v>160000</v>
      </c>
      <c r="G976" s="125">
        <f>F976*E976</f>
        <v>320000</v>
      </c>
      <c r="H976" s="106"/>
      <c r="J976" s="74"/>
      <c r="K976" s="74"/>
    </row>
    <row r="977" spans="1:11" ht="33" customHeight="1">
      <c r="A977" s="61"/>
      <c r="B977" s="30"/>
      <c r="C977" s="48" t="s">
        <v>1099</v>
      </c>
      <c r="D977" s="49" t="s">
        <v>43</v>
      </c>
      <c r="E977" s="50">
        <v>2</v>
      </c>
      <c r="F977" s="125">
        <v>600000</v>
      </c>
      <c r="G977" s="125">
        <f>F977*E977</f>
        <v>1200000</v>
      </c>
      <c r="H977" s="106"/>
      <c r="J977" s="74"/>
      <c r="K977" s="74"/>
    </row>
    <row r="978" spans="1:11" ht="15.75">
      <c r="A978" s="42"/>
      <c r="B978" s="43" t="s">
        <v>5</v>
      </c>
      <c r="C978" s="44"/>
      <c r="D978" s="45"/>
      <c r="E978" s="46"/>
      <c r="F978" s="133"/>
      <c r="G978" s="156">
        <f>SUM(G973:G977)</f>
        <v>771428240</v>
      </c>
      <c r="H978" s="261"/>
      <c r="J978" s="74"/>
      <c r="K978" s="74"/>
    </row>
    <row r="979" spans="1:11" ht="31.5">
      <c r="A979" s="54">
        <v>68</v>
      </c>
      <c r="B979" s="55" t="s">
        <v>360</v>
      </c>
      <c r="C979" s="56" t="s">
        <v>682</v>
      </c>
      <c r="D979" s="37" t="s">
        <v>20</v>
      </c>
      <c r="E979" s="57">
        <v>8.9</v>
      </c>
      <c r="F979" s="125"/>
      <c r="G979" s="125">
        <f>F979*E979</f>
        <v>0</v>
      </c>
      <c r="H979" s="105"/>
      <c r="J979" s="74"/>
      <c r="K979" s="74"/>
    </row>
    <row r="980" spans="1:11" ht="47.25">
      <c r="A980" s="54"/>
      <c r="B980" s="30" t="s">
        <v>544</v>
      </c>
      <c r="C980" s="29" t="s">
        <v>195</v>
      </c>
      <c r="D980" s="37"/>
      <c r="E980" s="84"/>
      <c r="F980" s="125"/>
      <c r="G980" s="125"/>
      <c r="H980" s="105"/>
      <c r="J980" s="74"/>
      <c r="K980" s="74"/>
    </row>
    <row r="981" spans="1:11" ht="30">
      <c r="A981" s="54"/>
      <c r="B981" s="62" t="s">
        <v>362</v>
      </c>
      <c r="C981" s="29" t="s">
        <v>804</v>
      </c>
      <c r="D981" s="37" t="s">
        <v>20</v>
      </c>
      <c r="E981" s="84">
        <v>8</v>
      </c>
      <c r="F981" s="125"/>
      <c r="G981" s="125"/>
      <c r="H981" s="105" t="s">
        <v>805</v>
      </c>
      <c r="J981" s="74"/>
      <c r="K981" s="74"/>
    </row>
    <row r="982" spans="1:11" ht="77.25" customHeight="1">
      <c r="A982" s="54"/>
      <c r="B982" s="62"/>
      <c r="C982" s="48" t="s">
        <v>806</v>
      </c>
      <c r="D982" s="37" t="s">
        <v>20</v>
      </c>
      <c r="E982" s="84">
        <v>0.9</v>
      </c>
      <c r="F982" s="125">
        <v>33958000</v>
      </c>
      <c r="G982" s="125">
        <f>F982*E982</f>
        <v>30562200</v>
      </c>
      <c r="H982" s="105"/>
      <c r="J982" s="74"/>
      <c r="K982" s="74"/>
    </row>
    <row r="983" spans="1:11" ht="154.5" customHeight="1">
      <c r="A983" s="61"/>
      <c r="B983" s="62"/>
      <c r="C983" s="30" t="s">
        <v>361</v>
      </c>
      <c r="D983" s="37" t="s">
        <v>20</v>
      </c>
      <c r="E983" s="60">
        <f>3.5*4</f>
        <v>14</v>
      </c>
      <c r="F983" s="130">
        <f>3230000-(8%*3230000)-(5%*3230000)</f>
        <v>2810100</v>
      </c>
      <c r="G983" s="125">
        <f>F983*E983</f>
        <v>39341400</v>
      </c>
      <c r="H983" s="105" t="s">
        <v>770</v>
      </c>
      <c r="J983" s="74"/>
      <c r="K983" s="74"/>
    </row>
    <row r="984" spans="1:11" ht="72.75" customHeight="1">
      <c r="A984" s="61"/>
      <c r="B984" s="30"/>
      <c r="C984" s="29" t="s">
        <v>363</v>
      </c>
      <c r="D984" s="37" t="s">
        <v>20</v>
      </c>
      <c r="E984" s="50">
        <f>3.5*3.5</f>
        <v>12.25</v>
      </c>
      <c r="F984" s="125">
        <f>2450000+160000</f>
        <v>2610000</v>
      </c>
      <c r="G984" s="125">
        <f>F984*E984</f>
        <v>31972500</v>
      </c>
      <c r="H984" s="105" t="s">
        <v>751</v>
      </c>
      <c r="J984" s="74"/>
      <c r="K984" s="74"/>
    </row>
    <row r="985" spans="1:11" ht="34.5">
      <c r="A985" s="61"/>
      <c r="B985" s="62"/>
      <c r="C985" s="29" t="s">
        <v>505</v>
      </c>
      <c r="D985" s="268" t="s">
        <v>492</v>
      </c>
      <c r="E985" s="50">
        <f>(3.5+3.5+3.5+2.7)*1.2</f>
        <v>15.839999999999998</v>
      </c>
      <c r="F985" s="125">
        <f>240000</f>
        <v>240000</v>
      </c>
      <c r="G985" s="125">
        <f>F985*E985</f>
        <v>3801599.9999999995</v>
      </c>
      <c r="H985" s="105"/>
      <c r="J985" s="74"/>
      <c r="K985" s="74"/>
    </row>
    <row r="986" spans="1:11" ht="26.25" customHeight="1">
      <c r="A986" s="61"/>
      <c r="B986" s="62"/>
      <c r="C986" s="29" t="s">
        <v>169</v>
      </c>
      <c r="D986" s="37" t="s">
        <v>32</v>
      </c>
      <c r="E986" s="50">
        <f>1*2*2</f>
        <v>4</v>
      </c>
      <c r="F986" s="130">
        <f>1684000</f>
        <v>1684000</v>
      </c>
      <c r="G986" s="125">
        <f>F986*E986</f>
        <v>6736000</v>
      </c>
      <c r="H986" s="106"/>
      <c r="J986" s="74"/>
      <c r="K986" s="74"/>
    </row>
    <row r="987" spans="1:11" ht="15.75">
      <c r="A987" s="42"/>
      <c r="B987" s="43" t="s">
        <v>5</v>
      </c>
      <c r="C987" s="44"/>
      <c r="D987" s="45"/>
      <c r="E987" s="46"/>
      <c r="F987" s="133"/>
      <c r="G987" s="156">
        <f>SUM(G979:G986)</f>
        <v>112413700</v>
      </c>
      <c r="H987" s="261"/>
      <c r="J987" s="74"/>
      <c r="K987" s="74"/>
    </row>
    <row r="988" spans="1:11" ht="31.5">
      <c r="A988" s="54">
        <v>69</v>
      </c>
      <c r="B988" s="55" t="s">
        <v>683</v>
      </c>
      <c r="C988" s="56" t="s">
        <v>684</v>
      </c>
      <c r="D988" s="37" t="s">
        <v>20</v>
      </c>
      <c r="E988" s="57">
        <v>41.7</v>
      </c>
      <c r="F988" s="134"/>
      <c r="G988" s="134"/>
      <c r="H988" s="259"/>
      <c r="J988" s="74"/>
      <c r="K988" s="74"/>
    </row>
    <row r="989" spans="1:11" ht="15.75">
      <c r="A989" s="54"/>
      <c r="B989" s="55" t="s">
        <v>364</v>
      </c>
      <c r="C989" s="29" t="s">
        <v>195</v>
      </c>
      <c r="D989" s="37"/>
      <c r="E989" s="84"/>
      <c r="F989" s="125"/>
      <c r="G989" s="206"/>
      <c r="H989" s="105"/>
      <c r="J989" s="74"/>
      <c r="K989" s="74"/>
    </row>
    <row r="990" spans="1:11" ht="39.75" customHeight="1">
      <c r="A990" s="54"/>
      <c r="B990" s="30" t="s">
        <v>984</v>
      </c>
      <c r="C990" s="29" t="s">
        <v>804</v>
      </c>
      <c r="D990" s="37" t="s">
        <v>20</v>
      </c>
      <c r="E990" s="84">
        <v>13.5</v>
      </c>
      <c r="F990" s="125"/>
      <c r="G990" s="206"/>
      <c r="H990" s="105"/>
      <c r="J990" s="74"/>
      <c r="K990" s="74"/>
    </row>
    <row r="991" spans="1:11" ht="103.5" customHeight="1">
      <c r="A991" s="54"/>
      <c r="B991" s="30"/>
      <c r="C991" s="29" t="s">
        <v>897</v>
      </c>
      <c r="D991" s="37" t="s">
        <v>20</v>
      </c>
      <c r="E991" s="60">
        <v>28.200000000000003</v>
      </c>
      <c r="F991" s="125">
        <v>6791600</v>
      </c>
      <c r="G991" s="125">
        <f>F991*E991</f>
        <v>191523120.00000003</v>
      </c>
      <c r="H991" s="105"/>
      <c r="J991" s="74"/>
      <c r="K991" s="74"/>
    </row>
    <row r="992" spans="1:11" ht="15.75">
      <c r="A992" s="54"/>
      <c r="B992" s="62"/>
      <c r="C992" s="29"/>
      <c r="D992" s="49"/>
      <c r="E992" s="84"/>
      <c r="F992" s="125"/>
      <c r="G992" s="125"/>
      <c r="H992" s="105"/>
      <c r="J992" s="74"/>
      <c r="K992" s="74"/>
    </row>
    <row r="993" spans="1:11" ht="15.75">
      <c r="A993" s="42"/>
      <c r="B993" s="201" t="s">
        <v>5</v>
      </c>
      <c r="C993" s="44"/>
      <c r="D993" s="45"/>
      <c r="E993" s="46"/>
      <c r="F993" s="133"/>
      <c r="G993" s="124">
        <f>SUM(G988:G992)</f>
        <v>191523120.00000003</v>
      </c>
      <c r="H993" s="261"/>
      <c r="J993" s="74"/>
      <c r="K993" s="74"/>
    </row>
    <row r="994" spans="1:11" ht="31.5">
      <c r="A994" s="54">
        <v>70</v>
      </c>
      <c r="B994" s="55" t="s">
        <v>130</v>
      </c>
      <c r="C994" s="56" t="s">
        <v>625</v>
      </c>
      <c r="D994" s="37" t="s">
        <v>20</v>
      </c>
      <c r="E994" s="57">
        <v>4.8</v>
      </c>
      <c r="F994" s="125"/>
      <c r="G994" s="125">
        <f aca="true" t="shared" si="39" ref="G994:G1002">F994*E994</f>
        <v>0</v>
      </c>
      <c r="H994" s="105"/>
      <c r="J994" s="74"/>
      <c r="K994" s="74"/>
    </row>
    <row r="995" spans="1:11" ht="56.25" customHeight="1">
      <c r="A995" s="54"/>
      <c r="B995" s="30" t="s">
        <v>545</v>
      </c>
      <c r="C995" s="29" t="s">
        <v>195</v>
      </c>
      <c r="D995" s="37"/>
      <c r="E995" s="84"/>
      <c r="F995" s="125"/>
      <c r="G995" s="125"/>
      <c r="H995" s="105"/>
      <c r="J995" s="74"/>
      <c r="K995" s="74"/>
    </row>
    <row r="996" spans="1:11" ht="30">
      <c r="A996" s="54"/>
      <c r="B996" s="224" t="s">
        <v>365</v>
      </c>
      <c r="C996" s="29" t="s">
        <v>804</v>
      </c>
      <c r="D996" s="37" t="s">
        <v>20</v>
      </c>
      <c r="E996" s="84">
        <v>2.6</v>
      </c>
      <c r="F996" s="125"/>
      <c r="G996" s="125"/>
      <c r="H996" s="105" t="s">
        <v>805</v>
      </c>
      <c r="J996" s="74"/>
      <c r="K996" s="74"/>
    </row>
    <row r="997" spans="1:11" ht="81.75" customHeight="1">
      <c r="A997" s="54"/>
      <c r="B997" s="30"/>
      <c r="C997" s="29" t="s">
        <v>806</v>
      </c>
      <c r="D997" s="37" t="s">
        <v>20</v>
      </c>
      <c r="E997" s="84">
        <v>2.2</v>
      </c>
      <c r="F997" s="125">
        <v>33958000</v>
      </c>
      <c r="G997" s="125">
        <f>F997*E997</f>
        <v>74707600</v>
      </c>
      <c r="H997" s="105"/>
      <c r="J997" s="74"/>
      <c r="K997" s="74"/>
    </row>
    <row r="998" spans="1:11" ht="90" customHeight="1">
      <c r="A998" s="61"/>
      <c r="B998" s="224"/>
      <c r="C998" s="30" t="s">
        <v>1168</v>
      </c>
      <c r="D998" s="37" t="s">
        <v>20</v>
      </c>
      <c r="E998" s="60">
        <f>3.4*4</f>
        <v>13.6</v>
      </c>
      <c r="F998" s="130">
        <v>3230000</v>
      </c>
      <c r="G998" s="125">
        <f t="shared" si="39"/>
        <v>43928000</v>
      </c>
      <c r="H998" s="106" t="s">
        <v>771</v>
      </c>
      <c r="J998" s="74"/>
      <c r="K998" s="74"/>
    </row>
    <row r="999" spans="1:11" ht="15.75">
      <c r="A999" s="61"/>
      <c r="B999" s="30"/>
      <c r="C999" s="48" t="s">
        <v>489</v>
      </c>
      <c r="D999" s="37" t="s">
        <v>42</v>
      </c>
      <c r="E999" s="50">
        <v>1</v>
      </c>
      <c r="F999" s="125">
        <v>820000</v>
      </c>
      <c r="G999" s="125">
        <f t="shared" si="39"/>
        <v>820000</v>
      </c>
      <c r="H999" s="106" t="s">
        <v>187</v>
      </c>
      <c r="J999" s="74"/>
      <c r="K999" s="74"/>
    </row>
    <row r="1000" spans="1:11" ht="15.75">
      <c r="A1000" s="140"/>
      <c r="B1000" s="224"/>
      <c r="C1000" s="48" t="s">
        <v>879</v>
      </c>
      <c r="D1000" s="64" t="s">
        <v>210</v>
      </c>
      <c r="E1000" s="225">
        <v>6</v>
      </c>
      <c r="F1000" s="130">
        <v>106810</v>
      </c>
      <c r="G1000" s="125">
        <f t="shared" si="39"/>
        <v>640860</v>
      </c>
      <c r="H1000" s="105" t="s">
        <v>903</v>
      </c>
      <c r="J1000" s="74"/>
      <c r="K1000" s="74"/>
    </row>
    <row r="1001" spans="1:11" ht="15.75">
      <c r="A1001" s="61"/>
      <c r="B1001" s="30"/>
      <c r="C1001" s="48" t="s">
        <v>882</v>
      </c>
      <c r="D1001" s="64" t="s">
        <v>210</v>
      </c>
      <c r="E1001" s="60">
        <v>18</v>
      </c>
      <c r="F1001" s="125">
        <v>13640</v>
      </c>
      <c r="G1001" s="125">
        <f t="shared" si="39"/>
        <v>245520</v>
      </c>
      <c r="H1001" s="105" t="s">
        <v>903</v>
      </c>
      <c r="J1001" s="74"/>
      <c r="K1001" s="74"/>
    </row>
    <row r="1002" spans="1:11" ht="15.75">
      <c r="A1002" s="61"/>
      <c r="B1002" s="30"/>
      <c r="C1002" s="183" t="s">
        <v>885</v>
      </c>
      <c r="D1002" s="269" t="s">
        <v>210</v>
      </c>
      <c r="E1002" s="60">
        <v>18</v>
      </c>
      <c r="F1002" s="130">
        <v>19140</v>
      </c>
      <c r="G1002" s="125">
        <f t="shared" si="39"/>
        <v>344520</v>
      </c>
      <c r="H1002" s="105" t="s">
        <v>903</v>
      </c>
      <c r="J1002" s="74"/>
      <c r="K1002" s="74"/>
    </row>
    <row r="1003" spans="1:11" ht="15.75">
      <c r="A1003" s="42"/>
      <c r="B1003" s="43" t="s">
        <v>5</v>
      </c>
      <c r="C1003" s="44"/>
      <c r="D1003" s="45"/>
      <c r="E1003" s="46"/>
      <c r="F1003" s="133"/>
      <c r="G1003" s="156">
        <f>SUM(G994:G1002)</f>
        <v>120686500</v>
      </c>
      <c r="H1003" s="261"/>
      <c r="J1003" s="74"/>
      <c r="K1003" s="74"/>
    </row>
    <row r="1004" spans="1:11" ht="31.5">
      <c r="A1004" s="54">
        <v>71</v>
      </c>
      <c r="B1004" s="55" t="s">
        <v>687</v>
      </c>
      <c r="C1004" s="56" t="s">
        <v>688</v>
      </c>
      <c r="D1004" s="37" t="s">
        <v>20</v>
      </c>
      <c r="E1004" s="57">
        <v>17.1</v>
      </c>
      <c r="F1004" s="125"/>
      <c r="G1004" s="125">
        <f>F1004*E1004</f>
        <v>0</v>
      </c>
      <c r="H1004" s="105"/>
      <c r="J1004" s="74"/>
      <c r="K1004" s="74"/>
    </row>
    <row r="1005" spans="1:11" ht="31.5">
      <c r="A1005" s="54"/>
      <c r="B1005" s="30" t="s">
        <v>525</v>
      </c>
      <c r="C1005" s="29" t="s">
        <v>195</v>
      </c>
      <c r="D1005" s="37"/>
      <c r="E1005" s="270"/>
      <c r="F1005" s="125"/>
      <c r="G1005" s="125"/>
      <c r="H1005" s="105"/>
      <c r="J1005" s="74"/>
      <c r="K1005" s="74"/>
    </row>
    <row r="1006" spans="1:11" ht="30">
      <c r="A1006" s="54"/>
      <c r="B1006" s="62"/>
      <c r="C1006" s="29" t="s">
        <v>804</v>
      </c>
      <c r="D1006" s="37" t="s">
        <v>20</v>
      </c>
      <c r="E1006" s="77">
        <v>12.1</v>
      </c>
      <c r="F1006" s="125"/>
      <c r="G1006" s="125"/>
      <c r="H1006" s="105" t="s">
        <v>805</v>
      </c>
      <c r="J1006" s="74"/>
      <c r="K1006" s="74"/>
    </row>
    <row r="1007" spans="1:11" ht="111" customHeight="1">
      <c r="A1007" s="54"/>
      <c r="B1007" s="62" t="s">
        <v>366</v>
      </c>
      <c r="C1007" s="29" t="s">
        <v>818</v>
      </c>
      <c r="D1007" s="37" t="s">
        <v>20</v>
      </c>
      <c r="E1007" s="77">
        <v>5.000000000000002</v>
      </c>
      <c r="F1007" s="125">
        <v>10187500</v>
      </c>
      <c r="G1007" s="125">
        <f>F1007*E1007</f>
        <v>50937500.000000015</v>
      </c>
      <c r="H1007" s="105"/>
      <c r="J1007" s="74"/>
      <c r="K1007" s="74"/>
    </row>
    <row r="1008" spans="1:11" ht="75.75" customHeight="1">
      <c r="A1008" s="61"/>
      <c r="B1008" s="30"/>
      <c r="C1008" s="30" t="s">
        <v>484</v>
      </c>
      <c r="D1008" s="37" t="s">
        <v>20</v>
      </c>
      <c r="E1008" s="60">
        <f>5.6*4</f>
        <v>22.4</v>
      </c>
      <c r="F1008" s="130">
        <f>3230000-(8%*3230000)</f>
        <v>2971600</v>
      </c>
      <c r="G1008" s="125">
        <f>F1008*E1008</f>
        <v>66563839.99999999</v>
      </c>
      <c r="H1008" s="106" t="s">
        <v>483</v>
      </c>
      <c r="J1008" s="74"/>
      <c r="K1008" s="74"/>
    </row>
    <row r="1009" spans="1:11" ht="15.75">
      <c r="A1009" s="61"/>
      <c r="B1009" s="62"/>
      <c r="C1009" s="48" t="s">
        <v>490</v>
      </c>
      <c r="D1009" s="49" t="s">
        <v>42</v>
      </c>
      <c r="E1009" s="50">
        <v>1</v>
      </c>
      <c r="F1009" s="125">
        <v>820000</v>
      </c>
      <c r="G1009" s="125">
        <f>F1009*E1009</f>
        <v>820000</v>
      </c>
      <c r="H1009" s="106" t="s">
        <v>187</v>
      </c>
      <c r="J1009" s="74"/>
      <c r="K1009" s="74"/>
    </row>
    <row r="1010" spans="1:11" ht="15.75">
      <c r="A1010" s="61"/>
      <c r="B1010" s="62"/>
      <c r="C1010" s="29" t="s">
        <v>836</v>
      </c>
      <c r="D1010" s="64" t="s">
        <v>210</v>
      </c>
      <c r="E1010" s="50">
        <v>20</v>
      </c>
      <c r="F1010" s="125">
        <v>13640</v>
      </c>
      <c r="G1010" s="125">
        <f>F1010*E1010</f>
        <v>272800</v>
      </c>
      <c r="H1010" s="105" t="s">
        <v>903</v>
      </c>
      <c r="J1010" s="74"/>
      <c r="K1010" s="74"/>
    </row>
    <row r="1011" spans="1:11" ht="15.75">
      <c r="A1011" s="42"/>
      <c r="B1011" s="43" t="s">
        <v>5</v>
      </c>
      <c r="C1011" s="44"/>
      <c r="D1011" s="45"/>
      <c r="E1011" s="46"/>
      <c r="F1011" s="133"/>
      <c r="G1011" s="156">
        <f>SUM(G1004:G1010)</f>
        <v>118594140</v>
      </c>
      <c r="H1011" s="261"/>
      <c r="J1011" s="74"/>
      <c r="K1011" s="74"/>
    </row>
    <row r="1012" spans="1:11" ht="31.5">
      <c r="A1012" s="54">
        <v>72</v>
      </c>
      <c r="B1012" s="55" t="s">
        <v>689</v>
      </c>
      <c r="C1012" s="56" t="s">
        <v>690</v>
      </c>
      <c r="D1012" s="37" t="s">
        <v>20</v>
      </c>
      <c r="E1012" s="57">
        <v>16.4</v>
      </c>
      <c r="F1012" s="125"/>
      <c r="G1012" s="125">
        <f>F1012*E1012</f>
        <v>0</v>
      </c>
      <c r="H1012" s="105"/>
      <c r="J1012" s="74"/>
      <c r="K1012" s="74"/>
    </row>
    <row r="1013" spans="1:11" ht="47.25">
      <c r="A1013" s="54"/>
      <c r="B1013" s="30" t="s">
        <v>546</v>
      </c>
      <c r="C1013" s="29" t="s">
        <v>195</v>
      </c>
      <c r="D1013" s="37"/>
      <c r="E1013" s="84"/>
      <c r="F1013" s="125"/>
      <c r="G1013" s="125"/>
      <c r="H1013" s="105"/>
      <c r="J1013" s="74"/>
      <c r="K1013" s="74"/>
    </row>
    <row r="1014" spans="1:11" ht="18.75">
      <c r="A1014" s="54"/>
      <c r="B1014" s="62"/>
      <c r="C1014" s="29" t="s">
        <v>804</v>
      </c>
      <c r="D1014" s="37" t="s">
        <v>20</v>
      </c>
      <c r="E1014" s="84">
        <v>12</v>
      </c>
      <c r="F1014" s="125"/>
      <c r="G1014" s="125"/>
      <c r="H1014" s="105"/>
      <c r="J1014" s="74"/>
      <c r="K1014" s="74"/>
    </row>
    <row r="1015" spans="1:11" ht="94.5">
      <c r="A1015" s="54"/>
      <c r="B1015" s="62" t="s">
        <v>367</v>
      </c>
      <c r="C1015" s="29" t="s">
        <v>817</v>
      </c>
      <c r="D1015" s="37" t="s">
        <v>20</v>
      </c>
      <c r="E1015" s="84">
        <v>4.399999999999999</v>
      </c>
      <c r="F1015" s="125">
        <v>10187500</v>
      </c>
      <c r="G1015" s="125">
        <f>F1015*E1015</f>
        <v>44824999.999999985</v>
      </c>
      <c r="H1015" s="105"/>
      <c r="J1015" s="74"/>
      <c r="K1015" s="74"/>
    </row>
    <row r="1016" spans="1:11" ht="18.75">
      <c r="A1016" s="61"/>
      <c r="B1016" s="62"/>
      <c r="C1016" s="30" t="s">
        <v>281</v>
      </c>
      <c r="D1016" s="37" t="s">
        <v>20</v>
      </c>
      <c r="E1016" s="60">
        <f>1.9*4</f>
        <v>7.6</v>
      </c>
      <c r="F1016" s="125">
        <v>240000</v>
      </c>
      <c r="G1016" s="125">
        <f aca="true" t="shared" si="40" ref="G1016:G1023">F1016*E1016</f>
        <v>1824000</v>
      </c>
      <c r="H1016" s="106"/>
      <c r="J1016" s="74"/>
      <c r="K1016" s="74"/>
    </row>
    <row r="1017" spans="1:11" ht="15.75">
      <c r="A1017" s="61"/>
      <c r="B1017" s="30"/>
      <c r="C1017" s="48" t="s">
        <v>830</v>
      </c>
      <c r="D1017" s="37" t="s">
        <v>37</v>
      </c>
      <c r="E1017" s="50">
        <v>1</v>
      </c>
      <c r="F1017" s="125">
        <v>20000</v>
      </c>
      <c r="G1017" s="125">
        <f t="shared" si="40"/>
        <v>20000</v>
      </c>
      <c r="H1017" s="106" t="s">
        <v>187</v>
      </c>
      <c r="J1017" s="74"/>
      <c r="K1017" s="74"/>
    </row>
    <row r="1018" spans="1:11" ht="15.75">
      <c r="A1018" s="61"/>
      <c r="B1018" s="62"/>
      <c r="C1018" s="29" t="s">
        <v>870</v>
      </c>
      <c r="D1018" s="37" t="s">
        <v>42</v>
      </c>
      <c r="E1018" s="50">
        <v>1</v>
      </c>
      <c r="F1018" s="125">
        <v>193000</v>
      </c>
      <c r="G1018" s="125">
        <f t="shared" si="40"/>
        <v>193000</v>
      </c>
      <c r="H1018" s="106" t="s">
        <v>187</v>
      </c>
      <c r="J1018" s="74"/>
      <c r="K1018" s="74"/>
    </row>
    <row r="1019" spans="1:11" ht="80.25" customHeight="1">
      <c r="A1019" s="61"/>
      <c r="B1019" s="62"/>
      <c r="C1019" s="29" t="s">
        <v>368</v>
      </c>
      <c r="D1019" s="37" t="s">
        <v>20</v>
      </c>
      <c r="E1019" s="50">
        <f>2.7*2</f>
        <v>5.4</v>
      </c>
      <c r="F1019" s="125">
        <f>2450000+160000</f>
        <v>2610000</v>
      </c>
      <c r="G1019" s="125">
        <f t="shared" si="40"/>
        <v>14094000</v>
      </c>
      <c r="H1019" s="105" t="s">
        <v>751</v>
      </c>
      <c r="J1019" s="74"/>
      <c r="K1019" s="74"/>
    </row>
    <row r="1020" spans="1:11" ht="36" customHeight="1">
      <c r="A1020" s="61"/>
      <c r="B1020" s="62"/>
      <c r="C1020" s="29" t="s">
        <v>206</v>
      </c>
      <c r="D1020" s="268" t="s">
        <v>492</v>
      </c>
      <c r="E1020" s="50">
        <f>(2.7+2.7+2+1.2)*1.6</f>
        <v>13.76</v>
      </c>
      <c r="F1020" s="125">
        <v>240000</v>
      </c>
      <c r="G1020" s="125">
        <f t="shared" si="40"/>
        <v>3302400</v>
      </c>
      <c r="H1020" s="105"/>
      <c r="J1020" s="74"/>
      <c r="K1020" s="74"/>
    </row>
    <row r="1021" spans="1:11" ht="47.25">
      <c r="A1021" s="61"/>
      <c r="B1021" s="62"/>
      <c r="C1021" s="29" t="s">
        <v>369</v>
      </c>
      <c r="D1021" s="37" t="s">
        <v>20</v>
      </c>
      <c r="E1021" s="50">
        <f>2*2</f>
        <v>4</v>
      </c>
      <c r="F1021" s="125">
        <v>821000</v>
      </c>
      <c r="G1021" s="125">
        <f t="shared" si="40"/>
        <v>3284000</v>
      </c>
      <c r="H1021" s="106"/>
      <c r="J1021" s="74"/>
      <c r="K1021" s="74"/>
    </row>
    <row r="1022" spans="1:11" ht="18.75">
      <c r="A1022" s="61"/>
      <c r="B1022" s="62"/>
      <c r="C1022" s="29" t="s">
        <v>25</v>
      </c>
      <c r="D1022" s="37" t="s">
        <v>32</v>
      </c>
      <c r="E1022" s="50">
        <f>(((1.9+1.9+4)*2)*0.1)</f>
        <v>1.56</v>
      </c>
      <c r="F1022" s="125">
        <v>1250000</v>
      </c>
      <c r="G1022" s="125">
        <f t="shared" si="40"/>
        <v>1950000</v>
      </c>
      <c r="H1022" s="106"/>
      <c r="J1022" s="74"/>
      <c r="K1022" s="74"/>
    </row>
    <row r="1023" spans="1:11" ht="18.75">
      <c r="A1023" s="61"/>
      <c r="B1023" s="62"/>
      <c r="C1023" s="29" t="s">
        <v>26</v>
      </c>
      <c r="D1023" s="37" t="s">
        <v>20</v>
      </c>
      <c r="E1023" s="50">
        <f>(1.9+1.9+4)*2</f>
        <v>15.6</v>
      </c>
      <c r="F1023" s="125">
        <v>82000</v>
      </c>
      <c r="G1023" s="125">
        <f t="shared" si="40"/>
        <v>1279200</v>
      </c>
      <c r="H1023" s="106"/>
      <c r="J1023" s="74"/>
      <c r="K1023" s="74"/>
    </row>
    <row r="1024" spans="1:11" ht="15.75">
      <c r="A1024" s="42"/>
      <c r="B1024" s="43" t="s">
        <v>5</v>
      </c>
      <c r="C1024" s="44"/>
      <c r="D1024" s="45"/>
      <c r="E1024" s="46"/>
      <c r="F1024" s="133"/>
      <c r="G1024" s="156">
        <f>SUM(G1012:G1023)</f>
        <v>70771599.99999999</v>
      </c>
      <c r="H1024" s="261"/>
      <c r="J1024" s="74"/>
      <c r="K1024" s="74"/>
    </row>
    <row r="1025" spans="1:11" ht="31.5">
      <c r="A1025" s="54">
        <v>73</v>
      </c>
      <c r="B1025" s="55" t="s">
        <v>370</v>
      </c>
      <c r="C1025" s="56" t="s">
        <v>691</v>
      </c>
      <c r="D1025" s="37" t="s">
        <v>20</v>
      </c>
      <c r="E1025" s="57">
        <v>15.1</v>
      </c>
      <c r="F1025" s="125"/>
      <c r="G1025" s="125">
        <f>F1025*E1025</f>
        <v>0</v>
      </c>
      <c r="H1025" s="105"/>
      <c r="J1025" s="74"/>
      <c r="K1025" s="74"/>
    </row>
    <row r="1026" spans="1:11" ht="47.25">
      <c r="A1026" s="54"/>
      <c r="B1026" s="30" t="s">
        <v>547</v>
      </c>
      <c r="C1026" s="29" t="s">
        <v>195</v>
      </c>
      <c r="D1026" s="37"/>
      <c r="E1026" s="84"/>
      <c r="F1026" s="125"/>
      <c r="G1026" s="125"/>
      <c r="H1026" s="105"/>
      <c r="J1026" s="74"/>
      <c r="K1026" s="74"/>
    </row>
    <row r="1027" spans="1:11" ht="30">
      <c r="A1027" s="54"/>
      <c r="B1027" s="62" t="s">
        <v>372</v>
      </c>
      <c r="C1027" s="29" t="s">
        <v>804</v>
      </c>
      <c r="D1027" s="37"/>
      <c r="E1027" s="84">
        <v>12</v>
      </c>
      <c r="F1027" s="125"/>
      <c r="G1027" s="125"/>
      <c r="H1027" s="105" t="s">
        <v>805</v>
      </c>
      <c r="J1027" s="74"/>
      <c r="K1027" s="74"/>
    </row>
    <row r="1028" spans="1:11" ht="112.5" customHeight="1">
      <c r="A1028" s="54"/>
      <c r="B1028" s="30"/>
      <c r="C1028" s="29" t="s">
        <v>816</v>
      </c>
      <c r="D1028" s="37" t="s">
        <v>20</v>
      </c>
      <c r="E1028" s="84">
        <v>3.0999999999999996</v>
      </c>
      <c r="F1028" s="125">
        <v>10187500</v>
      </c>
      <c r="G1028" s="125">
        <f>F1028*E1028</f>
        <v>31581249.999999996</v>
      </c>
      <c r="H1028" s="105"/>
      <c r="J1028" s="74"/>
      <c r="K1028" s="74"/>
    </row>
    <row r="1029" spans="1:11" ht="31.5">
      <c r="A1029" s="61"/>
      <c r="B1029" s="62"/>
      <c r="C1029" s="30" t="s">
        <v>371</v>
      </c>
      <c r="D1029" s="37" t="s">
        <v>20</v>
      </c>
      <c r="E1029" s="60">
        <f>4*2.2</f>
        <v>8.8</v>
      </c>
      <c r="F1029" s="130">
        <v>498000</v>
      </c>
      <c r="G1029" s="125">
        <f>F1029*E1029</f>
        <v>4382400</v>
      </c>
      <c r="H1029" s="106"/>
      <c r="J1029" s="74"/>
      <c r="K1029" s="74"/>
    </row>
    <row r="1030" spans="1:11" ht="18" customHeight="1">
      <c r="A1030" s="61"/>
      <c r="B1030" s="62"/>
      <c r="C1030" s="48" t="s">
        <v>25</v>
      </c>
      <c r="D1030" s="37" t="s">
        <v>32</v>
      </c>
      <c r="E1030" s="50">
        <f>8.4*2.5*0.1</f>
        <v>2.1</v>
      </c>
      <c r="F1030" s="125">
        <v>1250000</v>
      </c>
      <c r="G1030" s="125">
        <f>F1030*E1030</f>
        <v>2625000</v>
      </c>
      <c r="H1030" s="106"/>
      <c r="J1030" s="74"/>
      <c r="K1030" s="74"/>
    </row>
    <row r="1031" spans="1:11" ht="18.75">
      <c r="A1031" s="61"/>
      <c r="B1031" s="62"/>
      <c r="C1031" s="29" t="s">
        <v>26</v>
      </c>
      <c r="D1031" s="37" t="s">
        <v>20</v>
      </c>
      <c r="E1031" s="50">
        <f>8.4*2.5*2</f>
        <v>42</v>
      </c>
      <c r="F1031" s="125">
        <v>82000</v>
      </c>
      <c r="G1031" s="125">
        <f>F1031*E1031</f>
        <v>3444000</v>
      </c>
      <c r="H1031" s="106"/>
      <c r="J1031" s="74"/>
      <c r="K1031" s="74"/>
    </row>
    <row r="1032" spans="1:11" ht="15.75">
      <c r="A1032" s="61"/>
      <c r="B1032" s="62"/>
      <c r="C1032" s="29" t="s">
        <v>491</v>
      </c>
      <c r="D1032" s="37" t="s">
        <v>373</v>
      </c>
      <c r="E1032" s="50">
        <v>1</v>
      </c>
      <c r="F1032" s="125">
        <v>820000</v>
      </c>
      <c r="G1032" s="125">
        <f>F1032*E1032</f>
        <v>820000</v>
      </c>
      <c r="H1032" s="106" t="s">
        <v>187</v>
      </c>
      <c r="J1032" s="74"/>
      <c r="K1032" s="74"/>
    </row>
    <row r="1033" spans="1:11" ht="15.75">
      <c r="A1033" s="42"/>
      <c r="B1033" s="43" t="s">
        <v>5</v>
      </c>
      <c r="C1033" s="44"/>
      <c r="D1033" s="45"/>
      <c r="E1033" s="46"/>
      <c r="F1033" s="133"/>
      <c r="G1033" s="156">
        <f>SUM(G1025:G1032)</f>
        <v>42852650</v>
      </c>
      <c r="H1033" s="261"/>
      <c r="J1033" s="74"/>
      <c r="K1033" s="74"/>
    </row>
    <row r="1034" spans="1:11" ht="31.5">
      <c r="A1034" s="54">
        <v>74</v>
      </c>
      <c r="B1034" s="55" t="s">
        <v>374</v>
      </c>
      <c r="C1034" s="56" t="s">
        <v>692</v>
      </c>
      <c r="D1034" s="37" t="s">
        <v>20</v>
      </c>
      <c r="E1034" s="57">
        <v>17.6</v>
      </c>
      <c r="F1034" s="125"/>
      <c r="G1034" s="125">
        <f>F1034*E1034</f>
        <v>0</v>
      </c>
      <c r="H1034" s="105"/>
      <c r="J1034" s="74"/>
      <c r="K1034" s="74"/>
    </row>
    <row r="1035" spans="1:11" ht="47.25">
      <c r="A1035" s="54"/>
      <c r="B1035" s="30" t="s">
        <v>548</v>
      </c>
      <c r="C1035" s="29" t="s">
        <v>195</v>
      </c>
      <c r="D1035" s="37"/>
      <c r="E1035" s="84"/>
      <c r="F1035" s="125"/>
      <c r="G1035" s="125"/>
      <c r="H1035" s="105"/>
      <c r="J1035" s="74"/>
      <c r="K1035" s="74"/>
    </row>
    <row r="1036" spans="1:11" ht="15.75">
      <c r="A1036" s="54"/>
      <c r="B1036" s="62" t="s">
        <v>377</v>
      </c>
      <c r="C1036" s="29" t="s">
        <v>804</v>
      </c>
      <c r="D1036" s="37"/>
      <c r="E1036" s="84">
        <v>12</v>
      </c>
      <c r="F1036" s="125"/>
      <c r="G1036" s="125"/>
      <c r="H1036" s="105"/>
      <c r="J1036" s="74"/>
      <c r="K1036" s="74"/>
    </row>
    <row r="1037" spans="1:11" ht="94.5">
      <c r="A1037" s="54"/>
      <c r="B1037" s="62"/>
      <c r="C1037" s="29" t="s">
        <v>817</v>
      </c>
      <c r="D1037" s="37" t="s">
        <v>20</v>
      </c>
      <c r="E1037" s="84">
        <v>5.6</v>
      </c>
      <c r="F1037" s="125">
        <v>10187500</v>
      </c>
      <c r="G1037" s="125">
        <f>F1037*E1037</f>
        <v>57050000</v>
      </c>
      <c r="H1037" s="105"/>
      <c r="J1037" s="74"/>
      <c r="K1037" s="74"/>
    </row>
    <row r="1038" spans="1:11" ht="90" customHeight="1">
      <c r="A1038" s="61"/>
      <c r="B1038" s="62"/>
      <c r="C1038" s="30" t="s">
        <v>375</v>
      </c>
      <c r="D1038" s="37" t="s">
        <v>20</v>
      </c>
      <c r="E1038" s="60">
        <f>4.25*3.88</f>
        <v>16.49</v>
      </c>
      <c r="F1038" s="130">
        <f>3230000-(8%*3230000)</f>
        <v>2971600</v>
      </c>
      <c r="G1038" s="125">
        <f>F1038*E1038</f>
        <v>49001683.99999999</v>
      </c>
      <c r="H1038" s="106" t="s">
        <v>483</v>
      </c>
      <c r="J1038" s="74"/>
      <c r="K1038" s="74"/>
    </row>
    <row r="1039" spans="1:11" ht="18.75">
      <c r="A1039" s="61"/>
      <c r="B1039" s="30"/>
      <c r="C1039" s="48" t="s">
        <v>376</v>
      </c>
      <c r="D1039" s="37" t="s">
        <v>20</v>
      </c>
      <c r="E1039" s="50">
        <f>5*1.6</f>
        <v>8</v>
      </c>
      <c r="F1039" s="125">
        <v>110000</v>
      </c>
      <c r="G1039" s="125">
        <f>F1039*E1039</f>
        <v>880000</v>
      </c>
      <c r="H1039" s="106"/>
      <c r="J1039" s="74"/>
      <c r="K1039" s="74"/>
    </row>
    <row r="1040" spans="1:11" ht="18.75">
      <c r="A1040" s="61"/>
      <c r="B1040" s="62"/>
      <c r="C1040" s="29" t="s">
        <v>169</v>
      </c>
      <c r="D1040" s="37" t="s">
        <v>32</v>
      </c>
      <c r="E1040" s="50">
        <f>1.7*3.88*2</f>
        <v>13.192</v>
      </c>
      <c r="F1040" s="130">
        <f>1684000</f>
        <v>1684000</v>
      </c>
      <c r="G1040" s="125">
        <f>F1040*E1040</f>
        <v>22215328</v>
      </c>
      <c r="H1040" s="106"/>
      <c r="J1040" s="74"/>
      <c r="K1040" s="74"/>
    </row>
    <row r="1041" spans="1:11" ht="15.75">
      <c r="A1041" s="42"/>
      <c r="B1041" s="43" t="s">
        <v>5</v>
      </c>
      <c r="C1041" s="44"/>
      <c r="D1041" s="45"/>
      <c r="E1041" s="46"/>
      <c r="F1041" s="133"/>
      <c r="G1041" s="156">
        <f>SUM(G1034:G1040)</f>
        <v>129147012</v>
      </c>
      <c r="H1041" s="261"/>
      <c r="J1041" s="74"/>
      <c r="K1041" s="74"/>
    </row>
    <row r="1042" spans="1:11" ht="31.5">
      <c r="A1042" s="54">
        <v>75</v>
      </c>
      <c r="B1042" s="55" t="s">
        <v>695</v>
      </c>
      <c r="C1042" s="56" t="s">
        <v>693</v>
      </c>
      <c r="D1042" s="37" t="s">
        <v>20</v>
      </c>
      <c r="E1042" s="57">
        <v>81.3</v>
      </c>
      <c r="F1042" s="125"/>
      <c r="G1042" s="125">
        <f>F1042*E1042</f>
        <v>0</v>
      </c>
      <c r="H1042" s="105"/>
      <c r="J1042" s="74"/>
      <c r="K1042" s="74"/>
    </row>
    <row r="1043" spans="1:11" ht="15.75">
      <c r="A1043" s="54"/>
      <c r="B1043" s="62" t="s">
        <v>17</v>
      </c>
      <c r="C1043" s="29" t="s">
        <v>195</v>
      </c>
      <c r="D1043" s="37"/>
      <c r="E1043" s="84"/>
      <c r="F1043" s="125"/>
      <c r="G1043" s="125"/>
      <c r="H1043" s="105"/>
      <c r="J1043" s="74"/>
      <c r="K1043" s="74"/>
    </row>
    <row r="1044" spans="1:11" ht="47.25">
      <c r="A1044" s="54"/>
      <c r="B1044" s="30" t="s">
        <v>549</v>
      </c>
      <c r="C1044" s="183" t="s">
        <v>953</v>
      </c>
      <c r="D1044" s="37" t="s">
        <v>20</v>
      </c>
      <c r="E1044" s="84">
        <v>81.3</v>
      </c>
      <c r="F1044" s="125">
        <v>1841000</v>
      </c>
      <c r="G1044" s="125">
        <f>F1044*E1044</f>
        <v>149673300</v>
      </c>
      <c r="H1044" s="105"/>
      <c r="J1044" s="74"/>
      <c r="K1044" s="74"/>
    </row>
    <row r="1045" spans="1:11" ht="31.5">
      <c r="A1045" s="54"/>
      <c r="B1045" s="62" t="s">
        <v>378</v>
      </c>
      <c r="C1045" s="48" t="s">
        <v>694</v>
      </c>
      <c r="D1045" s="37" t="s">
        <v>20</v>
      </c>
      <c r="E1045" s="84">
        <v>79.9</v>
      </c>
      <c r="F1045" s="125"/>
      <c r="G1045" s="125"/>
      <c r="H1045" s="105"/>
      <c r="J1045" s="74"/>
      <c r="K1045" s="74"/>
    </row>
    <row r="1046" spans="1:11" ht="15.75">
      <c r="A1046" s="54"/>
      <c r="B1046" s="55"/>
      <c r="C1046" s="29" t="s">
        <v>195</v>
      </c>
      <c r="D1046" s="37"/>
      <c r="E1046" s="84"/>
      <c r="F1046" s="125"/>
      <c r="G1046" s="125"/>
      <c r="H1046" s="105"/>
      <c r="J1046" s="74"/>
      <c r="K1046" s="74"/>
    </row>
    <row r="1047" spans="1:11" ht="31.5">
      <c r="A1047" s="54"/>
      <c r="B1047" s="55"/>
      <c r="C1047" s="183" t="s">
        <v>953</v>
      </c>
      <c r="D1047" s="37" t="s">
        <v>20</v>
      </c>
      <c r="E1047" s="84">
        <v>79.9</v>
      </c>
      <c r="F1047" s="125">
        <v>1841000</v>
      </c>
      <c r="G1047" s="125">
        <f>F1047*E1047</f>
        <v>147095900</v>
      </c>
      <c r="H1047" s="105"/>
      <c r="J1047" s="74"/>
      <c r="K1047" s="74"/>
    </row>
    <row r="1048" spans="1:11" ht="51.75" customHeight="1">
      <c r="A1048" s="61"/>
      <c r="B1048" s="62"/>
      <c r="C1048" s="30" t="s">
        <v>1179</v>
      </c>
      <c r="D1048" s="37" t="s">
        <v>20</v>
      </c>
      <c r="E1048" s="60">
        <f>8.2*4</f>
        <v>32.8</v>
      </c>
      <c r="F1048" s="130">
        <v>821000</v>
      </c>
      <c r="G1048" s="125">
        <f aca="true" t="shared" si="41" ref="G1048:G1055">F1048*E1048</f>
        <v>26928799.999999996</v>
      </c>
      <c r="H1048" s="106"/>
      <c r="J1048" s="74"/>
      <c r="K1048" s="74"/>
    </row>
    <row r="1049" spans="1:11" ht="59.25" customHeight="1">
      <c r="A1049" s="61"/>
      <c r="B1049" s="30"/>
      <c r="C1049" s="48" t="s">
        <v>1173</v>
      </c>
      <c r="D1049" s="37" t="s">
        <v>20</v>
      </c>
      <c r="E1049" s="50">
        <f>4*5.6</f>
        <v>22.4</v>
      </c>
      <c r="F1049" s="130">
        <f>498000*40%</f>
        <v>199200</v>
      </c>
      <c r="G1049" s="125">
        <f t="shared" si="41"/>
        <v>4462080</v>
      </c>
      <c r="H1049" s="105" t="s">
        <v>910</v>
      </c>
      <c r="J1049" s="74"/>
      <c r="K1049" s="74"/>
    </row>
    <row r="1050" spans="1:11" ht="63">
      <c r="A1050" s="61"/>
      <c r="B1050" s="62"/>
      <c r="C1050" s="29" t="s">
        <v>379</v>
      </c>
      <c r="D1050" s="37" t="s">
        <v>20</v>
      </c>
      <c r="E1050" s="50">
        <f>4*2.2</f>
        <v>8.8</v>
      </c>
      <c r="F1050" s="125">
        <f>2450000+160000</f>
        <v>2610000</v>
      </c>
      <c r="G1050" s="125">
        <f t="shared" si="41"/>
        <v>22968000</v>
      </c>
      <c r="H1050" s="105" t="s">
        <v>751</v>
      </c>
      <c r="J1050" s="74"/>
      <c r="K1050" s="74"/>
    </row>
    <row r="1051" spans="1:11" ht="34.5">
      <c r="A1051" s="61"/>
      <c r="B1051" s="62"/>
      <c r="C1051" s="29" t="s">
        <v>505</v>
      </c>
      <c r="D1051" s="268" t="s">
        <v>492</v>
      </c>
      <c r="E1051" s="50">
        <f>(4+4+2.2+1.4)*1.2</f>
        <v>13.92</v>
      </c>
      <c r="F1051" s="125">
        <v>240000</v>
      </c>
      <c r="G1051" s="125">
        <f t="shared" si="41"/>
        <v>3340800</v>
      </c>
      <c r="H1051" s="105"/>
      <c r="J1051" s="74"/>
      <c r="K1051" s="74"/>
    </row>
    <row r="1052" spans="1:11" ht="18.75">
      <c r="A1052" s="61"/>
      <c r="B1052" s="62"/>
      <c r="C1052" s="29" t="s">
        <v>263</v>
      </c>
      <c r="D1052" s="37" t="s">
        <v>20</v>
      </c>
      <c r="E1052" s="50">
        <f>4*6.3</f>
        <v>25.2</v>
      </c>
      <c r="F1052" s="125">
        <v>125000</v>
      </c>
      <c r="G1052" s="125">
        <f t="shared" si="41"/>
        <v>3150000</v>
      </c>
      <c r="H1052" s="105"/>
      <c r="J1052" s="74"/>
      <c r="K1052" s="74"/>
    </row>
    <row r="1053" spans="1:11" ht="15.75">
      <c r="A1053" s="61"/>
      <c r="B1053" s="30"/>
      <c r="C1053" s="29" t="s">
        <v>41</v>
      </c>
      <c r="D1053" s="64" t="s">
        <v>42</v>
      </c>
      <c r="E1053" s="60">
        <v>1</v>
      </c>
      <c r="F1053" s="125">
        <v>238000</v>
      </c>
      <c r="G1053" s="125">
        <f t="shared" si="41"/>
        <v>238000</v>
      </c>
      <c r="H1053" s="106"/>
      <c r="J1053" s="74"/>
      <c r="K1053" s="74"/>
    </row>
    <row r="1054" spans="1:11" ht="15.75">
      <c r="A1054" s="61"/>
      <c r="B1054" s="30"/>
      <c r="C1054" s="48" t="s">
        <v>836</v>
      </c>
      <c r="D1054" s="64" t="s">
        <v>210</v>
      </c>
      <c r="E1054" s="60">
        <v>25</v>
      </c>
      <c r="F1054" s="125">
        <v>13640</v>
      </c>
      <c r="G1054" s="125">
        <f t="shared" si="41"/>
        <v>341000</v>
      </c>
      <c r="H1054" s="105" t="s">
        <v>903</v>
      </c>
      <c r="J1054" s="74"/>
      <c r="K1054" s="74"/>
    </row>
    <row r="1055" spans="1:11" ht="15.75">
      <c r="A1055" s="140"/>
      <c r="B1055" s="224"/>
      <c r="C1055" s="183" t="s">
        <v>1100</v>
      </c>
      <c r="D1055" s="271" t="s">
        <v>43</v>
      </c>
      <c r="E1055" s="225">
        <v>1</v>
      </c>
      <c r="F1055" s="143">
        <v>2500000</v>
      </c>
      <c r="G1055" s="125">
        <f t="shared" si="41"/>
        <v>2500000</v>
      </c>
      <c r="H1055" s="144"/>
      <c r="J1055" s="74"/>
      <c r="K1055" s="74"/>
    </row>
    <row r="1056" spans="1:11" ht="15.75">
      <c r="A1056" s="42"/>
      <c r="B1056" s="43" t="s">
        <v>5</v>
      </c>
      <c r="C1056" s="44"/>
      <c r="D1056" s="45"/>
      <c r="E1056" s="46"/>
      <c r="F1056" s="133"/>
      <c r="G1056" s="156">
        <f>SUM(G1042:G1055)</f>
        <v>360697880</v>
      </c>
      <c r="H1056" s="261"/>
      <c r="J1056" s="74"/>
      <c r="K1056" s="74"/>
    </row>
    <row r="1057" spans="1:11" ht="31.5">
      <c r="A1057" s="54">
        <v>76</v>
      </c>
      <c r="B1057" s="55" t="s">
        <v>380</v>
      </c>
      <c r="C1057" s="56" t="s">
        <v>696</v>
      </c>
      <c r="D1057" s="37" t="s">
        <v>20</v>
      </c>
      <c r="E1057" s="57">
        <v>80.4</v>
      </c>
      <c r="F1057" s="134"/>
      <c r="G1057" s="134">
        <f>F1057*E1057</f>
        <v>0</v>
      </c>
      <c r="H1057" s="259"/>
      <c r="J1057" s="74"/>
      <c r="K1057" s="74"/>
    </row>
    <row r="1058" spans="1:11" ht="15.75">
      <c r="A1058" s="54"/>
      <c r="B1058" s="62" t="s">
        <v>381</v>
      </c>
      <c r="C1058" s="29" t="s">
        <v>195</v>
      </c>
      <c r="D1058" s="37"/>
      <c r="E1058" s="84"/>
      <c r="F1058" s="125"/>
      <c r="G1058" s="125"/>
      <c r="H1058" s="105"/>
      <c r="J1058" s="74"/>
      <c r="K1058" s="74"/>
    </row>
    <row r="1059" spans="1:11" ht="47.25">
      <c r="A1059" s="54"/>
      <c r="B1059" s="30" t="s">
        <v>550</v>
      </c>
      <c r="C1059" s="183" t="s">
        <v>953</v>
      </c>
      <c r="D1059" s="37" t="s">
        <v>20</v>
      </c>
      <c r="E1059" s="84">
        <v>80.4</v>
      </c>
      <c r="F1059" s="125">
        <v>1841000</v>
      </c>
      <c r="G1059" s="125">
        <f>F1059*E1059</f>
        <v>148016400</v>
      </c>
      <c r="H1059" s="105"/>
      <c r="J1059" s="74"/>
      <c r="K1059" s="74"/>
    </row>
    <row r="1060" spans="1:11" ht="78.75">
      <c r="A1060" s="54"/>
      <c r="B1060" s="62" t="s">
        <v>383</v>
      </c>
      <c r="C1060" s="30" t="s">
        <v>382</v>
      </c>
      <c r="D1060" s="37" t="s">
        <v>20</v>
      </c>
      <c r="E1060" s="60">
        <f>16.6*4</f>
        <v>66.4</v>
      </c>
      <c r="F1060" s="130">
        <f>3230000-(8%*3230000)-(5%*3230000)</f>
        <v>2810100</v>
      </c>
      <c r="G1060" s="130">
        <f aca="true" t="shared" si="42" ref="G1060:G1070">F1060*E1060</f>
        <v>186590640.00000003</v>
      </c>
      <c r="H1060" s="106" t="s">
        <v>485</v>
      </c>
      <c r="J1060" s="74"/>
      <c r="K1060" s="74"/>
    </row>
    <row r="1061" spans="1:11" ht="18.75">
      <c r="A1061" s="54"/>
      <c r="B1061" s="30"/>
      <c r="C1061" s="29" t="s">
        <v>166</v>
      </c>
      <c r="D1061" s="37" t="s">
        <v>20</v>
      </c>
      <c r="E1061" s="84">
        <f>6.1*4</f>
        <v>24.4</v>
      </c>
      <c r="F1061" s="125">
        <v>230000</v>
      </c>
      <c r="G1061" s="130">
        <f t="shared" si="42"/>
        <v>5612000</v>
      </c>
      <c r="H1061" s="105"/>
      <c r="J1061" s="74"/>
      <c r="K1061" s="74"/>
    </row>
    <row r="1062" spans="1:11" ht="18.75">
      <c r="A1062" s="54"/>
      <c r="B1062" s="62"/>
      <c r="C1062" s="29" t="s">
        <v>36</v>
      </c>
      <c r="D1062" s="37" t="s">
        <v>20</v>
      </c>
      <c r="E1062" s="50">
        <f>(3*4)+(4*1.8)+(1.8*1.35)</f>
        <v>21.63</v>
      </c>
      <c r="F1062" s="125">
        <v>125000</v>
      </c>
      <c r="G1062" s="130">
        <f t="shared" si="42"/>
        <v>2703750</v>
      </c>
      <c r="H1062" s="105"/>
      <c r="J1062" s="74"/>
      <c r="K1062" s="74"/>
    </row>
    <row r="1063" spans="1:11" ht="31.5">
      <c r="A1063" s="54"/>
      <c r="B1063" s="62"/>
      <c r="C1063" s="29" t="s">
        <v>384</v>
      </c>
      <c r="D1063" s="37" t="s">
        <v>20</v>
      </c>
      <c r="E1063" s="50">
        <f>2.2*4</f>
        <v>8.8</v>
      </c>
      <c r="F1063" s="130">
        <v>498000</v>
      </c>
      <c r="G1063" s="130">
        <f t="shared" si="42"/>
        <v>4382400</v>
      </c>
      <c r="H1063" s="105"/>
      <c r="J1063" s="74"/>
      <c r="K1063" s="74"/>
    </row>
    <row r="1064" spans="1:11" ht="77.25" customHeight="1">
      <c r="A1064" s="54"/>
      <c r="B1064" s="62"/>
      <c r="C1064" s="29" t="s">
        <v>385</v>
      </c>
      <c r="D1064" s="37" t="s">
        <v>20</v>
      </c>
      <c r="E1064" s="50">
        <f>1.8*2.65</f>
        <v>4.77</v>
      </c>
      <c r="F1064" s="125">
        <f>2450000+160000</f>
        <v>2610000</v>
      </c>
      <c r="G1064" s="130">
        <f t="shared" si="42"/>
        <v>12449699.999999998</v>
      </c>
      <c r="H1064" s="105" t="s">
        <v>751</v>
      </c>
      <c r="J1064" s="74"/>
      <c r="K1064" s="74"/>
    </row>
    <row r="1065" spans="1:11" ht="38.25" customHeight="1">
      <c r="A1065" s="54"/>
      <c r="B1065" s="62"/>
      <c r="C1065" s="29" t="s">
        <v>207</v>
      </c>
      <c r="D1065" s="268" t="s">
        <v>492</v>
      </c>
      <c r="E1065" s="50">
        <f>(2.65+2.65+1.8+1)*1.5</f>
        <v>12.149999999999999</v>
      </c>
      <c r="F1065" s="125">
        <v>240000</v>
      </c>
      <c r="G1065" s="130">
        <f t="shared" si="42"/>
        <v>2915999.9999999995</v>
      </c>
      <c r="H1065" s="105"/>
      <c r="J1065" s="74"/>
      <c r="K1065" s="74"/>
    </row>
    <row r="1066" spans="1:11" ht="18.75">
      <c r="A1066" s="54"/>
      <c r="B1066" s="62"/>
      <c r="C1066" s="29" t="s">
        <v>25</v>
      </c>
      <c r="D1066" s="37" t="s">
        <v>32</v>
      </c>
      <c r="E1066" s="50">
        <f>(((1.9+4.9)*2.5)*0.1)</f>
        <v>1.7000000000000002</v>
      </c>
      <c r="F1066" s="125">
        <v>1250000</v>
      </c>
      <c r="G1066" s="130">
        <f t="shared" si="42"/>
        <v>2125000</v>
      </c>
      <c r="H1066" s="105"/>
      <c r="J1066" s="74"/>
      <c r="K1066" s="74"/>
    </row>
    <row r="1067" spans="1:11" ht="18.75">
      <c r="A1067" s="54"/>
      <c r="B1067" s="62"/>
      <c r="C1067" s="29" t="s">
        <v>26</v>
      </c>
      <c r="D1067" s="37" t="s">
        <v>20</v>
      </c>
      <c r="E1067" s="50">
        <f>(((1.9+4.9)*2.5)*2)</f>
        <v>34</v>
      </c>
      <c r="F1067" s="125">
        <v>82000</v>
      </c>
      <c r="G1067" s="130">
        <f t="shared" si="42"/>
        <v>2788000</v>
      </c>
      <c r="H1067" s="105"/>
      <c r="J1067" s="74"/>
      <c r="K1067" s="74"/>
    </row>
    <row r="1068" spans="1:11" ht="15.75">
      <c r="A1068" s="54"/>
      <c r="B1068" s="62"/>
      <c r="C1068" s="29" t="s">
        <v>41</v>
      </c>
      <c r="D1068" s="49" t="s">
        <v>42</v>
      </c>
      <c r="E1068" s="50">
        <v>1</v>
      </c>
      <c r="F1068" s="125">
        <v>238000</v>
      </c>
      <c r="G1068" s="130">
        <f t="shared" si="42"/>
        <v>238000</v>
      </c>
      <c r="H1068" s="105"/>
      <c r="J1068" s="74"/>
      <c r="K1068" s="74"/>
    </row>
    <row r="1069" spans="1:11" ht="15.75">
      <c r="A1069" s="54"/>
      <c r="B1069" s="62"/>
      <c r="C1069" s="29" t="s">
        <v>882</v>
      </c>
      <c r="D1069" s="64" t="s">
        <v>210</v>
      </c>
      <c r="E1069" s="50">
        <v>30</v>
      </c>
      <c r="F1069" s="125">
        <v>13640</v>
      </c>
      <c r="G1069" s="130">
        <f t="shared" si="42"/>
        <v>409200</v>
      </c>
      <c r="H1069" s="105" t="s">
        <v>903</v>
      </c>
      <c r="J1069" s="74"/>
      <c r="K1069" s="74"/>
    </row>
    <row r="1070" spans="1:11" ht="15.75">
      <c r="A1070" s="54"/>
      <c r="B1070" s="62"/>
      <c r="C1070" s="29" t="s">
        <v>847</v>
      </c>
      <c r="D1070" s="49" t="s">
        <v>37</v>
      </c>
      <c r="E1070" s="50">
        <v>24</v>
      </c>
      <c r="F1070" s="125">
        <v>20000</v>
      </c>
      <c r="G1070" s="232">
        <f t="shared" si="42"/>
        <v>480000</v>
      </c>
      <c r="H1070" s="106" t="s">
        <v>187</v>
      </c>
      <c r="J1070" s="74"/>
      <c r="K1070" s="74"/>
    </row>
    <row r="1071" spans="1:11" ht="15.75">
      <c r="A1071" s="42"/>
      <c r="B1071" s="201" t="s">
        <v>5</v>
      </c>
      <c r="C1071" s="44"/>
      <c r="D1071" s="45"/>
      <c r="E1071" s="46"/>
      <c r="F1071" s="133"/>
      <c r="G1071" s="124">
        <f>SUM(G1057:G1070)</f>
        <v>368711090</v>
      </c>
      <c r="H1071" s="261"/>
      <c r="J1071" s="74"/>
      <c r="K1071" s="74"/>
    </row>
    <row r="1072" spans="1:11" ht="45">
      <c r="A1072" s="54">
        <v>77</v>
      </c>
      <c r="B1072" s="55" t="s">
        <v>697</v>
      </c>
      <c r="C1072" s="56" t="s">
        <v>698</v>
      </c>
      <c r="D1072" s="37" t="s">
        <v>20</v>
      </c>
      <c r="E1072" s="57">
        <v>80</v>
      </c>
      <c r="F1072" s="125"/>
      <c r="G1072" s="125">
        <f>F1072*E1072</f>
        <v>0</v>
      </c>
      <c r="H1072" s="105" t="s">
        <v>386</v>
      </c>
      <c r="J1072" s="74"/>
      <c r="K1072" s="74"/>
    </row>
    <row r="1073" spans="1:11" ht="15.75">
      <c r="A1073" s="54"/>
      <c r="B1073" s="62" t="s">
        <v>17</v>
      </c>
      <c r="C1073" s="29" t="s">
        <v>195</v>
      </c>
      <c r="D1073" s="37"/>
      <c r="E1073" s="84"/>
      <c r="F1073" s="125"/>
      <c r="G1073" s="125"/>
      <c r="H1073" s="105"/>
      <c r="J1073" s="74"/>
      <c r="K1073" s="74"/>
    </row>
    <row r="1074" spans="1:11" ht="31.5">
      <c r="A1074" s="54"/>
      <c r="B1074" s="30" t="s">
        <v>892</v>
      </c>
      <c r="C1074" s="183" t="s">
        <v>953</v>
      </c>
      <c r="D1074" s="37" t="s">
        <v>20</v>
      </c>
      <c r="E1074" s="84">
        <v>80</v>
      </c>
      <c r="F1074" s="125">
        <v>1841000</v>
      </c>
      <c r="G1074" s="125">
        <f>F1074*E1074</f>
        <v>147280000</v>
      </c>
      <c r="H1074" s="105"/>
      <c r="J1074" s="74"/>
      <c r="K1074" s="74"/>
    </row>
    <row r="1075" spans="1:11" ht="31.5">
      <c r="A1075" s="61"/>
      <c r="B1075" s="224" t="s">
        <v>387</v>
      </c>
      <c r="C1075" s="30" t="s">
        <v>565</v>
      </c>
      <c r="D1075" s="37" t="s">
        <v>20</v>
      </c>
      <c r="E1075" s="60">
        <f>11.2*4</f>
        <v>44.8</v>
      </c>
      <c r="F1075" s="130">
        <f>821000</f>
        <v>821000</v>
      </c>
      <c r="G1075" s="125">
        <f aca="true" t="shared" si="43" ref="G1075:G1081">F1075*E1075</f>
        <v>36780800</v>
      </c>
      <c r="H1075" s="106"/>
      <c r="J1075" s="74"/>
      <c r="K1075" s="74"/>
    </row>
    <row r="1076" spans="1:11" ht="31.5">
      <c r="A1076" s="61"/>
      <c r="B1076" s="30"/>
      <c r="C1076" s="48" t="s">
        <v>371</v>
      </c>
      <c r="D1076" s="37" t="s">
        <v>20</v>
      </c>
      <c r="E1076" s="50">
        <f>4*4.9</f>
        <v>19.6</v>
      </c>
      <c r="F1076" s="125">
        <v>498000</v>
      </c>
      <c r="G1076" s="125">
        <f t="shared" si="43"/>
        <v>9760800</v>
      </c>
      <c r="H1076" s="106"/>
      <c r="J1076" s="74"/>
      <c r="K1076" s="74"/>
    </row>
    <row r="1077" spans="1:11" ht="31.5">
      <c r="A1077" s="140"/>
      <c r="B1077" s="224"/>
      <c r="C1077" s="183" t="s">
        <v>388</v>
      </c>
      <c r="D1077" s="37" t="s">
        <v>20</v>
      </c>
      <c r="E1077" s="225">
        <f>1.7*2.6</f>
        <v>4.42</v>
      </c>
      <c r="F1077" s="130">
        <v>150000</v>
      </c>
      <c r="G1077" s="125">
        <f t="shared" si="43"/>
        <v>663000</v>
      </c>
      <c r="H1077" s="251"/>
      <c r="J1077" s="74"/>
      <c r="K1077" s="74"/>
    </row>
    <row r="1078" spans="1:11" ht="15.75">
      <c r="A1078" s="61"/>
      <c r="B1078" s="30"/>
      <c r="C1078" s="48" t="s">
        <v>41</v>
      </c>
      <c r="D1078" s="37" t="s">
        <v>42</v>
      </c>
      <c r="E1078" s="60">
        <v>1</v>
      </c>
      <c r="F1078" s="125">
        <v>238000</v>
      </c>
      <c r="G1078" s="125">
        <f t="shared" si="43"/>
        <v>238000</v>
      </c>
      <c r="H1078" s="106"/>
      <c r="J1078" s="74"/>
      <c r="K1078" s="74"/>
    </row>
    <row r="1079" spans="1:11" ht="15.75">
      <c r="A1079" s="61"/>
      <c r="B1079" s="30"/>
      <c r="C1079" s="48" t="s">
        <v>882</v>
      </c>
      <c r="D1079" s="64" t="s">
        <v>210</v>
      </c>
      <c r="E1079" s="60">
        <v>25</v>
      </c>
      <c r="F1079" s="125">
        <v>13640</v>
      </c>
      <c r="G1079" s="125">
        <f t="shared" si="43"/>
        <v>341000</v>
      </c>
      <c r="H1079" s="105" t="s">
        <v>903</v>
      </c>
      <c r="J1079" s="74"/>
      <c r="K1079" s="74"/>
    </row>
    <row r="1080" spans="1:11" ht="15.75">
      <c r="A1080" s="61"/>
      <c r="B1080" s="30"/>
      <c r="C1080" s="48" t="s">
        <v>985</v>
      </c>
      <c r="D1080" s="37" t="s">
        <v>343</v>
      </c>
      <c r="E1080" s="60">
        <v>1</v>
      </c>
      <c r="F1080" s="130">
        <v>600000</v>
      </c>
      <c r="G1080" s="125">
        <f t="shared" si="43"/>
        <v>600000</v>
      </c>
      <c r="H1080" s="106"/>
      <c r="J1080" s="74"/>
      <c r="K1080" s="74"/>
    </row>
    <row r="1081" spans="1:11" ht="15.75">
      <c r="A1081" s="61"/>
      <c r="B1081" s="30"/>
      <c r="C1081" s="48" t="s">
        <v>928</v>
      </c>
      <c r="D1081" s="37" t="s">
        <v>43</v>
      </c>
      <c r="E1081" s="60">
        <v>2</v>
      </c>
      <c r="F1081" s="130">
        <v>240000</v>
      </c>
      <c r="G1081" s="125">
        <f t="shared" si="43"/>
        <v>480000</v>
      </c>
      <c r="H1081" s="106"/>
      <c r="J1081" s="74"/>
      <c r="K1081" s="74"/>
    </row>
    <row r="1082" spans="1:11" ht="15.75">
      <c r="A1082" s="42"/>
      <c r="B1082" s="43" t="s">
        <v>5</v>
      </c>
      <c r="C1082" s="44"/>
      <c r="D1082" s="45"/>
      <c r="E1082" s="46"/>
      <c r="F1082" s="133"/>
      <c r="G1082" s="156">
        <f>SUM(G1072:G1081)</f>
        <v>196143600</v>
      </c>
      <c r="H1082" s="261"/>
      <c r="J1082" s="74"/>
      <c r="K1082" s="74"/>
    </row>
    <row r="1083" spans="1:11" ht="31.5">
      <c r="A1083" s="54">
        <v>78</v>
      </c>
      <c r="B1083" s="55" t="s">
        <v>389</v>
      </c>
      <c r="C1083" s="56" t="s">
        <v>699</v>
      </c>
      <c r="D1083" s="37" t="s">
        <v>20</v>
      </c>
      <c r="E1083" s="57">
        <v>92.9</v>
      </c>
      <c r="F1083" s="125"/>
      <c r="G1083" s="125">
        <f>F1083*E1083</f>
        <v>0</v>
      </c>
      <c r="H1083" s="105"/>
      <c r="J1083" s="74"/>
      <c r="K1083" s="74"/>
    </row>
    <row r="1084" spans="1:11" ht="15.75">
      <c r="A1084" s="54"/>
      <c r="B1084" s="55" t="s">
        <v>986</v>
      </c>
      <c r="C1084" s="29" t="s">
        <v>195</v>
      </c>
      <c r="D1084" s="37"/>
      <c r="E1084" s="84"/>
      <c r="F1084" s="125"/>
      <c r="G1084" s="125"/>
      <c r="H1084" s="105"/>
      <c r="J1084" s="74"/>
      <c r="K1084" s="74"/>
    </row>
    <row r="1085" spans="1:11" ht="102.75" customHeight="1">
      <c r="A1085" s="54"/>
      <c r="B1085" s="30" t="s">
        <v>551</v>
      </c>
      <c r="C1085" s="183" t="s">
        <v>823</v>
      </c>
      <c r="D1085" s="37" t="s">
        <v>20</v>
      </c>
      <c r="E1085" s="84">
        <v>92.9</v>
      </c>
      <c r="F1085" s="125">
        <v>7087000</v>
      </c>
      <c r="G1085" s="125">
        <f aca="true" t="shared" si="44" ref="G1085:G1108">F1085*E1085</f>
        <v>658382300</v>
      </c>
      <c r="H1085" s="105"/>
      <c r="J1085" s="74"/>
      <c r="K1085" s="74"/>
    </row>
    <row r="1086" spans="1:11" ht="47.25">
      <c r="A1086" s="61"/>
      <c r="B1086" s="62" t="s">
        <v>585</v>
      </c>
      <c r="C1086" s="30" t="s">
        <v>390</v>
      </c>
      <c r="D1086" s="37" t="s">
        <v>20</v>
      </c>
      <c r="E1086" s="60">
        <f>3.5*5.5</f>
        <v>19.25</v>
      </c>
      <c r="F1086" s="130">
        <v>498000</v>
      </c>
      <c r="G1086" s="125">
        <f t="shared" si="44"/>
        <v>9586500</v>
      </c>
      <c r="H1086" s="106"/>
      <c r="J1086" s="74"/>
      <c r="K1086" s="74"/>
    </row>
    <row r="1087" spans="1:11" ht="18.75">
      <c r="A1087" s="61"/>
      <c r="B1087" s="30"/>
      <c r="C1087" s="48" t="s">
        <v>115</v>
      </c>
      <c r="D1087" s="37" t="s">
        <v>20</v>
      </c>
      <c r="E1087" s="50">
        <f>(1.7*1.5)+(2.2*1.5)*2</f>
        <v>9.15</v>
      </c>
      <c r="F1087" s="125">
        <v>240000</v>
      </c>
      <c r="G1087" s="125">
        <f t="shared" si="44"/>
        <v>2196000</v>
      </c>
      <c r="H1087" s="106"/>
      <c r="J1087" s="74"/>
      <c r="K1087" s="74"/>
    </row>
    <row r="1088" spans="1:11" ht="31.5">
      <c r="A1088" s="61"/>
      <c r="B1088" s="62"/>
      <c r="C1088" s="29" t="s">
        <v>391</v>
      </c>
      <c r="D1088" s="37" t="s">
        <v>20</v>
      </c>
      <c r="E1088" s="50">
        <f>2*5</f>
        <v>10</v>
      </c>
      <c r="F1088" s="125">
        <v>498000</v>
      </c>
      <c r="G1088" s="125">
        <f t="shared" si="44"/>
        <v>4980000</v>
      </c>
      <c r="H1088" s="106"/>
      <c r="J1088" s="74"/>
      <c r="K1088" s="74"/>
    </row>
    <row r="1089" spans="1:11" ht="18.75">
      <c r="A1089" s="61"/>
      <c r="B1089" s="62"/>
      <c r="C1089" s="29" t="s">
        <v>25</v>
      </c>
      <c r="D1089" s="37" t="s">
        <v>20</v>
      </c>
      <c r="E1089" s="50">
        <f>((4.2*0.5*0.1)*4)+((5.5*0.5*0.1)*2)</f>
        <v>1.3900000000000001</v>
      </c>
      <c r="F1089" s="125">
        <v>1250000</v>
      </c>
      <c r="G1089" s="125">
        <f t="shared" si="44"/>
        <v>1737500.0000000002</v>
      </c>
      <c r="H1089" s="106"/>
      <c r="J1089" s="74"/>
      <c r="K1089" s="74"/>
    </row>
    <row r="1090" spans="1:11" ht="18.75">
      <c r="A1090" s="61"/>
      <c r="B1090" s="62"/>
      <c r="C1090" s="29" t="s">
        <v>26</v>
      </c>
      <c r="D1090" s="37" t="s">
        <v>20</v>
      </c>
      <c r="E1090" s="50">
        <f>((4.2*0.5*4)*2)+((5.5*0.5)*2)+(((13+9)*2)*2)</f>
        <v>110.3</v>
      </c>
      <c r="F1090" s="125">
        <v>82000</v>
      </c>
      <c r="G1090" s="125">
        <f t="shared" si="44"/>
        <v>9044600</v>
      </c>
      <c r="H1090" s="106"/>
      <c r="J1090" s="74"/>
      <c r="K1090" s="74"/>
    </row>
    <row r="1091" spans="1:11" ht="30" customHeight="1">
      <c r="A1091" s="61"/>
      <c r="B1091" s="62"/>
      <c r="C1091" s="29" t="s">
        <v>501</v>
      </c>
      <c r="D1091" s="37" t="s">
        <v>32</v>
      </c>
      <c r="E1091" s="50">
        <f>(((13+9)*2)*0.2)+(((5.5+5.5)*2.5)*0.2)</f>
        <v>14.3</v>
      </c>
      <c r="F1091" s="125">
        <v>1335000</v>
      </c>
      <c r="G1091" s="125">
        <f t="shared" si="44"/>
        <v>19090500</v>
      </c>
      <c r="H1091" s="106"/>
      <c r="J1091" s="74"/>
      <c r="K1091" s="74"/>
    </row>
    <row r="1092" spans="1:11" ht="15.75">
      <c r="A1092" s="61"/>
      <c r="B1092" s="62"/>
      <c r="C1092" s="29" t="s">
        <v>148</v>
      </c>
      <c r="D1092" s="37" t="s">
        <v>42</v>
      </c>
      <c r="E1092" s="50">
        <v>3</v>
      </c>
      <c r="F1092" s="125">
        <v>57000</v>
      </c>
      <c r="G1092" s="125">
        <f t="shared" si="44"/>
        <v>171000</v>
      </c>
      <c r="H1092" s="106" t="s">
        <v>187</v>
      </c>
      <c r="J1092" s="74"/>
      <c r="K1092" s="74"/>
    </row>
    <row r="1093" spans="1:11" ht="64.5" customHeight="1">
      <c r="A1093" s="61"/>
      <c r="B1093" s="62"/>
      <c r="C1093" s="29" t="s">
        <v>392</v>
      </c>
      <c r="D1093" s="37" t="s">
        <v>20</v>
      </c>
      <c r="E1093" s="50">
        <f>2.5*2</f>
        <v>5</v>
      </c>
      <c r="F1093" s="125">
        <v>3920000</v>
      </c>
      <c r="G1093" s="125">
        <f t="shared" si="44"/>
        <v>19600000</v>
      </c>
      <c r="H1093" s="106"/>
      <c r="J1093" s="74"/>
      <c r="K1093" s="74"/>
    </row>
    <row r="1094" spans="1:11" ht="15.75">
      <c r="A1094" s="61"/>
      <c r="B1094" s="62"/>
      <c r="C1094" s="29" t="s">
        <v>886</v>
      </c>
      <c r="D1094" s="64" t="s">
        <v>210</v>
      </c>
      <c r="E1094" s="50">
        <v>120</v>
      </c>
      <c r="F1094" s="125">
        <v>9680</v>
      </c>
      <c r="G1094" s="125">
        <f t="shared" si="44"/>
        <v>1161600</v>
      </c>
      <c r="H1094" s="105" t="s">
        <v>903</v>
      </c>
      <c r="J1094" s="74"/>
      <c r="K1094" s="74"/>
    </row>
    <row r="1095" spans="1:11" ht="15.75">
      <c r="A1095" s="61"/>
      <c r="B1095" s="62"/>
      <c r="C1095" s="29" t="s">
        <v>1136</v>
      </c>
      <c r="D1095" s="49" t="s">
        <v>43</v>
      </c>
      <c r="E1095" s="50">
        <v>4</v>
      </c>
      <c r="F1095" s="125">
        <v>300000</v>
      </c>
      <c r="G1095" s="125">
        <f t="shared" si="44"/>
        <v>1200000</v>
      </c>
      <c r="H1095" s="106"/>
      <c r="J1095" s="74"/>
      <c r="K1095" s="74"/>
    </row>
    <row r="1096" spans="1:11" ht="15.75">
      <c r="A1096" s="61"/>
      <c r="B1096" s="62"/>
      <c r="C1096" s="29" t="s">
        <v>1018</v>
      </c>
      <c r="D1096" s="49" t="s">
        <v>43</v>
      </c>
      <c r="E1096" s="50">
        <v>1</v>
      </c>
      <c r="F1096" s="125">
        <v>682000</v>
      </c>
      <c r="G1096" s="125">
        <f t="shared" si="44"/>
        <v>682000</v>
      </c>
      <c r="H1096" s="106"/>
      <c r="J1096" s="74"/>
      <c r="K1096" s="74"/>
    </row>
    <row r="1097" spans="1:11" ht="15.75">
      <c r="A1097" s="61"/>
      <c r="B1097" s="62"/>
      <c r="C1097" s="29" t="s">
        <v>848</v>
      </c>
      <c r="D1097" s="49" t="s">
        <v>37</v>
      </c>
      <c r="E1097" s="50">
        <v>6</v>
      </c>
      <c r="F1097" s="125">
        <v>40000</v>
      </c>
      <c r="G1097" s="125">
        <f t="shared" si="44"/>
        <v>240000</v>
      </c>
      <c r="H1097" s="106" t="s">
        <v>187</v>
      </c>
      <c r="J1097" s="74"/>
      <c r="K1097" s="74"/>
    </row>
    <row r="1098" spans="1:11" ht="15.75">
      <c r="A1098" s="61"/>
      <c r="B1098" s="62"/>
      <c r="C1098" s="29" t="s">
        <v>847</v>
      </c>
      <c r="D1098" s="49" t="s">
        <v>37</v>
      </c>
      <c r="E1098" s="50">
        <v>45</v>
      </c>
      <c r="F1098" s="125">
        <v>20000</v>
      </c>
      <c r="G1098" s="125">
        <f t="shared" si="44"/>
        <v>900000</v>
      </c>
      <c r="H1098" s="106" t="s">
        <v>187</v>
      </c>
      <c r="J1098" s="74"/>
      <c r="K1098" s="74"/>
    </row>
    <row r="1099" spans="1:11" ht="15.75">
      <c r="A1099" s="61"/>
      <c r="B1099" s="62"/>
      <c r="C1099" s="29" t="s">
        <v>1038</v>
      </c>
      <c r="D1099" s="49" t="s">
        <v>43</v>
      </c>
      <c r="E1099" s="50">
        <v>1</v>
      </c>
      <c r="F1099" s="125">
        <v>1200000</v>
      </c>
      <c r="G1099" s="125">
        <f t="shared" si="44"/>
        <v>1200000</v>
      </c>
      <c r="H1099" s="106"/>
      <c r="J1099" s="74"/>
      <c r="K1099" s="74"/>
    </row>
    <row r="1100" spans="1:11" ht="15.75">
      <c r="A1100" s="61"/>
      <c r="B1100" s="62"/>
      <c r="C1100" s="29" t="s">
        <v>302</v>
      </c>
      <c r="D1100" s="49" t="s">
        <v>145</v>
      </c>
      <c r="E1100" s="50">
        <v>2</v>
      </c>
      <c r="F1100" s="125">
        <v>240000</v>
      </c>
      <c r="G1100" s="125">
        <f t="shared" si="44"/>
        <v>480000</v>
      </c>
      <c r="H1100" s="106"/>
      <c r="J1100" s="74"/>
      <c r="K1100" s="74"/>
    </row>
    <row r="1101" spans="1:11" ht="18.75">
      <c r="A1101" s="61"/>
      <c r="B1101" s="62"/>
      <c r="C1101" s="29" t="s">
        <v>393</v>
      </c>
      <c r="D1101" s="37" t="s">
        <v>20</v>
      </c>
      <c r="E1101" s="50">
        <v>5</v>
      </c>
      <c r="F1101" s="125">
        <v>6000</v>
      </c>
      <c r="G1101" s="125">
        <f t="shared" si="44"/>
        <v>30000</v>
      </c>
      <c r="H1101" s="106"/>
      <c r="J1101" s="74"/>
      <c r="K1101" s="74"/>
    </row>
    <row r="1102" spans="1:11" ht="18.75">
      <c r="A1102" s="61"/>
      <c r="B1102" s="62"/>
      <c r="C1102" s="29" t="s">
        <v>394</v>
      </c>
      <c r="D1102" s="37" t="s">
        <v>20</v>
      </c>
      <c r="E1102" s="50">
        <v>15</v>
      </c>
      <c r="F1102" s="125">
        <v>30000</v>
      </c>
      <c r="G1102" s="125">
        <f t="shared" si="44"/>
        <v>450000</v>
      </c>
      <c r="H1102" s="106"/>
      <c r="J1102" s="74"/>
      <c r="K1102" s="74"/>
    </row>
    <row r="1103" spans="1:11" ht="18.75">
      <c r="A1103" s="61"/>
      <c r="B1103" s="62"/>
      <c r="C1103" s="29" t="s">
        <v>1101</v>
      </c>
      <c r="D1103" s="37" t="s">
        <v>20</v>
      </c>
      <c r="E1103" s="50">
        <v>2</v>
      </c>
      <c r="F1103" s="125">
        <v>52500</v>
      </c>
      <c r="G1103" s="125">
        <f t="shared" si="44"/>
        <v>105000</v>
      </c>
      <c r="H1103" s="106"/>
      <c r="J1103" s="74"/>
      <c r="K1103" s="74"/>
    </row>
    <row r="1104" spans="1:11" ht="15.75">
      <c r="A1104" s="61"/>
      <c r="B1104" s="62"/>
      <c r="C1104" s="29" t="s">
        <v>1134</v>
      </c>
      <c r="D1104" s="49" t="s">
        <v>43</v>
      </c>
      <c r="E1104" s="50">
        <v>1</v>
      </c>
      <c r="F1104" s="125">
        <v>34000</v>
      </c>
      <c r="G1104" s="125">
        <f t="shared" si="44"/>
        <v>34000</v>
      </c>
      <c r="H1104" s="106"/>
      <c r="J1104" s="74"/>
      <c r="K1104" s="74"/>
    </row>
    <row r="1105" spans="1:11" ht="18.75">
      <c r="A1105" s="61"/>
      <c r="B1105" s="62"/>
      <c r="C1105" s="29" t="s">
        <v>395</v>
      </c>
      <c r="D1105" s="37" t="s">
        <v>20</v>
      </c>
      <c r="E1105" s="50">
        <v>2</v>
      </c>
      <c r="F1105" s="125">
        <v>20000</v>
      </c>
      <c r="G1105" s="125">
        <f t="shared" si="44"/>
        <v>40000</v>
      </c>
      <c r="H1105" s="106"/>
      <c r="J1105" s="74"/>
      <c r="K1105" s="74"/>
    </row>
    <row r="1106" spans="1:11" ht="18.75">
      <c r="A1106" s="61"/>
      <c r="B1106" s="62"/>
      <c r="C1106" s="29" t="s">
        <v>477</v>
      </c>
      <c r="D1106" s="37" t="s">
        <v>20</v>
      </c>
      <c r="E1106" s="50">
        <v>10</v>
      </c>
      <c r="F1106" s="125">
        <v>39000</v>
      </c>
      <c r="G1106" s="125">
        <f t="shared" si="44"/>
        <v>390000</v>
      </c>
      <c r="H1106" s="106"/>
      <c r="J1106" s="74"/>
      <c r="K1106" s="74"/>
    </row>
    <row r="1107" spans="1:11" ht="15.75">
      <c r="A1107" s="61"/>
      <c r="B1107" s="30"/>
      <c r="C1107" s="29" t="s">
        <v>1089</v>
      </c>
      <c r="D1107" s="64" t="s">
        <v>43</v>
      </c>
      <c r="E1107" s="60">
        <v>1</v>
      </c>
      <c r="F1107" s="125">
        <v>629000</v>
      </c>
      <c r="G1107" s="125">
        <f t="shared" si="44"/>
        <v>629000</v>
      </c>
      <c r="H1107" s="106"/>
      <c r="J1107" s="74"/>
      <c r="K1107" s="74"/>
    </row>
    <row r="1108" spans="1:11" ht="18.75">
      <c r="A1108" s="61"/>
      <c r="B1108" s="30"/>
      <c r="C1108" s="48" t="s">
        <v>177</v>
      </c>
      <c r="D1108" s="37" t="s">
        <v>20</v>
      </c>
      <c r="E1108" s="60">
        <v>1</v>
      </c>
      <c r="F1108" s="130">
        <v>6000</v>
      </c>
      <c r="G1108" s="125">
        <f t="shared" si="44"/>
        <v>6000</v>
      </c>
      <c r="H1108" s="106"/>
      <c r="J1108" s="74"/>
      <c r="K1108" s="74"/>
    </row>
    <row r="1109" spans="1:11" ht="15.75">
      <c r="A1109" s="42"/>
      <c r="B1109" s="43" t="s">
        <v>5</v>
      </c>
      <c r="C1109" s="44"/>
      <c r="D1109" s="45"/>
      <c r="E1109" s="46"/>
      <c r="F1109" s="133"/>
      <c r="G1109" s="156">
        <f>SUM(G1083:G1108)</f>
        <v>732336000</v>
      </c>
      <c r="H1109" s="261"/>
      <c r="J1109" s="74"/>
      <c r="K1109" s="74"/>
    </row>
    <row r="1110" spans="1:11" ht="31.5">
      <c r="A1110" s="54">
        <v>79</v>
      </c>
      <c r="B1110" s="55" t="s">
        <v>396</v>
      </c>
      <c r="C1110" s="56" t="s">
        <v>700</v>
      </c>
      <c r="D1110" s="37" t="s">
        <v>20</v>
      </c>
      <c r="E1110" s="57">
        <v>79.7</v>
      </c>
      <c r="F1110" s="125"/>
      <c r="G1110" s="125">
        <f>F1110*E1110</f>
        <v>0</v>
      </c>
      <c r="H1110" s="105"/>
      <c r="J1110" s="74"/>
      <c r="K1110" s="74"/>
    </row>
    <row r="1111" spans="1:11" ht="21" customHeight="1">
      <c r="A1111" s="54"/>
      <c r="B1111" s="62" t="s">
        <v>17</v>
      </c>
      <c r="C1111" s="29" t="s">
        <v>195</v>
      </c>
      <c r="D1111" s="37"/>
      <c r="E1111" s="84"/>
      <c r="F1111" s="125"/>
      <c r="G1111" s="125"/>
      <c r="H1111" s="105"/>
      <c r="J1111" s="74"/>
      <c r="K1111" s="74"/>
    </row>
    <row r="1112" spans="1:11" ht="41.25" customHeight="1">
      <c r="A1112" s="54"/>
      <c r="B1112" s="30" t="s">
        <v>525</v>
      </c>
      <c r="C1112" s="29" t="s">
        <v>953</v>
      </c>
      <c r="D1112" s="37" t="s">
        <v>20</v>
      </c>
      <c r="E1112" s="84">
        <v>79.7</v>
      </c>
      <c r="F1112" s="125">
        <v>1841000</v>
      </c>
      <c r="G1112" s="125">
        <f aca="true" t="shared" si="45" ref="G1112:G1119">F1112*E1112</f>
        <v>146727700</v>
      </c>
      <c r="H1112" s="105"/>
      <c r="J1112" s="74"/>
      <c r="K1112" s="74"/>
    </row>
    <row r="1113" spans="1:11" ht="97.5" customHeight="1">
      <c r="A1113" s="61"/>
      <c r="B1113" s="62" t="s">
        <v>398</v>
      </c>
      <c r="C1113" s="30" t="s">
        <v>397</v>
      </c>
      <c r="D1113" s="37" t="s">
        <v>20</v>
      </c>
      <c r="E1113" s="60">
        <f>20.3*4</f>
        <v>81.2</v>
      </c>
      <c r="F1113" s="130">
        <f>3230000</f>
        <v>3230000</v>
      </c>
      <c r="G1113" s="125">
        <f t="shared" si="45"/>
        <v>262276000</v>
      </c>
      <c r="H1113" s="106"/>
      <c r="J1113" s="74"/>
      <c r="K1113" s="74"/>
    </row>
    <row r="1114" spans="1:11" ht="33.75" customHeight="1">
      <c r="A1114" s="61"/>
      <c r="B1114" s="30"/>
      <c r="C1114" s="48" t="s">
        <v>1169</v>
      </c>
      <c r="D1114" s="37" t="s">
        <v>20</v>
      </c>
      <c r="E1114" s="50">
        <f>1*4</f>
        <v>4</v>
      </c>
      <c r="F1114" s="125">
        <v>150000</v>
      </c>
      <c r="G1114" s="125">
        <f t="shared" si="45"/>
        <v>600000</v>
      </c>
      <c r="H1114" s="106" t="s">
        <v>912</v>
      </c>
      <c r="J1114" s="74"/>
      <c r="K1114" s="74"/>
    </row>
    <row r="1115" spans="1:11" ht="33">
      <c r="A1115" s="61"/>
      <c r="B1115" s="62"/>
      <c r="C1115" s="29" t="s">
        <v>1170</v>
      </c>
      <c r="D1115" s="37" t="s">
        <v>20</v>
      </c>
      <c r="E1115" s="50">
        <f>4*4</f>
        <v>16</v>
      </c>
      <c r="F1115" s="125">
        <v>125000</v>
      </c>
      <c r="G1115" s="125">
        <f t="shared" si="45"/>
        <v>2000000</v>
      </c>
      <c r="H1115" s="106" t="s">
        <v>901</v>
      </c>
      <c r="J1115" s="74"/>
      <c r="K1115" s="74"/>
    </row>
    <row r="1116" spans="1:11" ht="18.75">
      <c r="A1116" s="61"/>
      <c r="B1116" s="62"/>
      <c r="C1116" s="29" t="s">
        <v>25</v>
      </c>
      <c r="D1116" s="37" t="s">
        <v>32</v>
      </c>
      <c r="E1116" s="50">
        <f>0.3*0.3*1.5</f>
        <v>0.135</v>
      </c>
      <c r="F1116" s="125">
        <v>1250000</v>
      </c>
      <c r="G1116" s="125">
        <f t="shared" si="45"/>
        <v>168750</v>
      </c>
      <c r="H1116" s="106"/>
      <c r="J1116" s="74"/>
      <c r="K1116" s="74"/>
    </row>
    <row r="1117" spans="1:11" ht="18.75">
      <c r="A1117" s="61"/>
      <c r="B1117" s="62"/>
      <c r="C1117" s="29" t="s">
        <v>26</v>
      </c>
      <c r="D1117" s="37" t="s">
        <v>20</v>
      </c>
      <c r="E1117" s="50">
        <f>(0.3*1.5)*4</f>
        <v>1.7999999999999998</v>
      </c>
      <c r="F1117" s="125">
        <f>82000</f>
        <v>82000</v>
      </c>
      <c r="G1117" s="125">
        <f>F1117*E1117</f>
        <v>147599.99999999997</v>
      </c>
      <c r="H1117" s="106"/>
      <c r="J1117" s="74"/>
      <c r="K1117" s="74"/>
    </row>
    <row r="1118" spans="1:11" ht="15.75">
      <c r="A1118" s="61"/>
      <c r="B1118" s="62"/>
      <c r="C1118" s="29" t="s">
        <v>399</v>
      </c>
      <c r="D1118" s="49" t="s">
        <v>42</v>
      </c>
      <c r="E1118" s="50">
        <v>1</v>
      </c>
      <c r="F1118" s="125">
        <v>238000</v>
      </c>
      <c r="G1118" s="125">
        <f t="shared" si="45"/>
        <v>238000</v>
      </c>
      <c r="H1118" s="106"/>
      <c r="J1118" s="74"/>
      <c r="K1118" s="74"/>
    </row>
    <row r="1119" spans="1:11" ht="15.75">
      <c r="A1119" s="61"/>
      <c r="B1119" s="30"/>
      <c r="C1119" s="29" t="s">
        <v>836</v>
      </c>
      <c r="D1119" s="64" t="s">
        <v>210</v>
      </c>
      <c r="E1119" s="60">
        <v>30</v>
      </c>
      <c r="F1119" s="125">
        <v>13640</v>
      </c>
      <c r="G1119" s="125">
        <f t="shared" si="45"/>
        <v>409200</v>
      </c>
      <c r="H1119" s="105" t="s">
        <v>903</v>
      </c>
      <c r="J1119" s="74"/>
      <c r="K1119" s="74"/>
    </row>
    <row r="1120" spans="1:11" ht="15.75">
      <c r="A1120" s="42"/>
      <c r="B1120" s="43" t="s">
        <v>5</v>
      </c>
      <c r="C1120" s="44"/>
      <c r="D1120" s="45"/>
      <c r="E1120" s="46"/>
      <c r="F1120" s="133"/>
      <c r="G1120" s="156">
        <f>SUM(G1110:G1119)</f>
        <v>412567250</v>
      </c>
      <c r="H1120" s="261"/>
      <c r="J1120" s="74"/>
      <c r="K1120" s="74"/>
    </row>
    <row r="1121" spans="1:11" ht="31.5">
      <c r="A1121" s="54">
        <v>80</v>
      </c>
      <c r="B1121" s="55" t="s">
        <v>400</v>
      </c>
      <c r="C1121" s="56" t="s">
        <v>701</v>
      </c>
      <c r="D1121" s="37" t="s">
        <v>20</v>
      </c>
      <c r="E1121" s="57">
        <v>79.9</v>
      </c>
      <c r="F1121" s="125"/>
      <c r="G1121" s="125">
        <f>F1121*E1121</f>
        <v>0</v>
      </c>
      <c r="H1121" s="105"/>
      <c r="J1121" s="74"/>
      <c r="K1121" s="74"/>
    </row>
    <row r="1122" spans="1:11" ht="15.75">
      <c r="A1122" s="54"/>
      <c r="B1122" s="62" t="s">
        <v>17</v>
      </c>
      <c r="C1122" s="29" t="s">
        <v>195</v>
      </c>
      <c r="D1122" s="37"/>
      <c r="E1122" s="84"/>
      <c r="F1122" s="125"/>
      <c r="G1122" s="125"/>
      <c r="H1122" s="105"/>
      <c r="J1122" s="74"/>
      <c r="K1122" s="74"/>
    </row>
    <row r="1123" spans="1:11" ht="47.25">
      <c r="A1123" s="54"/>
      <c r="B1123" s="30" t="s">
        <v>552</v>
      </c>
      <c r="C1123" s="29" t="s">
        <v>953</v>
      </c>
      <c r="D1123" s="37" t="s">
        <v>20</v>
      </c>
      <c r="E1123" s="84">
        <v>79.9</v>
      </c>
      <c r="F1123" s="125">
        <v>1841000</v>
      </c>
      <c r="G1123" s="125">
        <f>F1123*E1123</f>
        <v>147095900</v>
      </c>
      <c r="H1123" s="105"/>
      <c r="J1123" s="74"/>
      <c r="K1123" s="74"/>
    </row>
    <row r="1124" spans="1:11" ht="63">
      <c r="A1124" s="61"/>
      <c r="B1124" s="62" t="s">
        <v>402</v>
      </c>
      <c r="C1124" s="30" t="s">
        <v>401</v>
      </c>
      <c r="D1124" s="37" t="s">
        <v>20</v>
      </c>
      <c r="E1124" s="60">
        <f>5.8*4</f>
        <v>23.2</v>
      </c>
      <c r="F1124" s="130">
        <f>3230000-(8%*3230000)-(5%*3230000)</f>
        <v>2810100</v>
      </c>
      <c r="G1124" s="125">
        <f aca="true" t="shared" si="46" ref="G1124:G1138">F1124*E1124</f>
        <v>65194320</v>
      </c>
      <c r="H1124" s="106" t="s">
        <v>485</v>
      </c>
      <c r="J1124" s="74"/>
      <c r="K1124" s="74"/>
    </row>
    <row r="1125" spans="1:11" ht="77.25" customHeight="1">
      <c r="A1125" s="61"/>
      <c r="B1125" s="30"/>
      <c r="C1125" s="48" t="s">
        <v>480</v>
      </c>
      <c r="D1125" s="37" t="s">
        <v>20</v>
      </c>
      <c r="E1125" s="50">
        <f>3.1*4</f>
        <v>12.4</v>
      </c>
      <c r="F1125" s="125">
        <f>3230000-(25%*3230000)-150000</f>
        <v>2272500</v>
      </c>
      <c r="G1125" s="125">
        <f t="shared" si="46"/>
        <v>28179000</v>
      </c>
      <c r="H1125" s="106" t="s">
        <v>772</v>
      </c>
      <c r="J1125" s="74"/>
      <c r="K1125" s="74"/>
    </row>
    <row r="1126" spans="1:11" ht="31.5">
      <c r="A1126" s="61"/>
      <c r="B1126" s="62"/>
      <c r="C1126" s="29" t="s">
        <v>403</v>
      </c>
      <c r="D1126" s="37" t="s">
        <v>20</v>
      </c>
      <c r="E1126" s="50">
        <f>1.8*4</f>
        <v>7.2</v>
      </c>
      <c r="F1126" s="125">
        <v>498000</v>
      </c>
      <c r="G1126" s="125">
        <f t="shared" si="46"/>
        <v>3585600</v>
      </c>
      <c r="H1126" s="106"/>
      <c r="J1126" s="74"/>
      <c r="K1126" s="74"/>
    </row>
    <row r="1127" spans="1:11" ht="31.5">
      <c r="A1127" s="61"/>
      <c r="B1127" s="62"/>
      <c r="C1127" s="29" t="s">
        <v>404</v>
      </c>
      <c r="D1127" s="37" t="s">
        <v>20</v>
      </c>
      <c r="E1127" s="50">
        <f>4*1.8</f>
        <v>7.2</v>
      </c>
      <c r="F1127" s="125">
        <v>736000</v>
      </c>
      <c r="G1127" s="125">
        <f t="shared" si="46"/>
        <v>5299200</v>
      </c>
      <c r="H1127" s="106"/>
      <c r="J1127" s="74"/>
      <c r="K1127" s="74"/>
    </row>
    <row r="1128" spans="1:11" ht="39.75" customHeight="1">
      <c r="A1128" s="61"/>
      <c r="B1128" s="62"/>
      <c r="C1128" s="29" t="s">
        <v>1171</v>
      </c>
      <c r="D1128" s="37" t="s">
        <v>20</v>
      </c>
      <c r="E1128" s="50">
        <f>4*4</f>
        <v>16</v>
      </c>
      <c r="F1128" s="125">
        <f>498000*40%</f>
        <v>199200</v>
      </c>
      <c r="G1128" s="125">
        <f t="shared" si="46"/>
        <v>3187200</v>
      </c>
      <c r="H1128" s="106" t="s">
        <v>902</v>
      </c>
      <c r="J1128" s="74"/>
      <c r="K1128" s="74"/>
    </row>
    <row r="1129" spans="1:11" ht="33">
      <c r="A1129" s="61"/>
      <c r="B1129" s="62"/>
      <c r="C1129" s="29" t="s">
        <v>1170</v>
      </c>
      <c r="D1129" s="37" t="s">
        <v>20</v>
      </c>
      <c r="E1129" s="50">
        <f>(2.3*4)+(3.1*2)+(1*4)+(0.8*4)</f>
        <v>22.599999999999998</v>
      </c>
      <c r="F1129" s="125">
        <f>125000*40%</f>
        <v>50000</v>
      </c>
      <c r="G1129" s="125">
        <f t="shared" si="46"/>
        <v>1130000</v>
      </c>
      <c r="H1129" s="106" t="s">
        <v>901</v>
      </c>
      <c r="J1129" s="74"/>
      <c r="K1129" s="74"/>
    </row>
    <row r="1130" spans="1:11" ht="56.25" customHeight="1">
      <c r="A1130" s="61"/>
      <c r="B1130" s="62"/>
      <c r="C1130" s="29" t="s">
        <v>405</v>
      </c>
      <c r="D1130" s="37" t="s">
        <v>20</v>
      </c>
      <c r="E1130" s="50">
        <f>(3.05*1.62)</f>
        <v>4.941</v>
      </c>
      <c r="F1130" s="125">
        <v>2450000</v>
      </c>
      <c r="G1130" s="125">
        <f t="shared" si="46"/>
        <v>12105450</v>
      </c>
      <c r="H1130" s="106"/>
      <c r="J1130" s="74"/>
      <c r="K1130" s="74"/>
    </row>
    <row r="1131" spans="1:11" ht="78.75" customHeight="1">
      <c r="A1131" s="61"/>
      <c r="B1131" s="62"/>
      <c r="C1131" s="29" t="s">
        <v>506</v>
      </c>
      <c r="D1131" s="37" t="s">
        <v>20</v>
      </c>
      <c r="E1131" s="50">
        <f>3.97*2.2</f>
        <v>8.734000000000002</v>
      </c>
      <c r="F1131" s="125">
        <f>2450000+160000</f>
        <v>2610000</v>
      </c>
      <c r="G1131" s="125">
        <f t="shared" si="46"/>
        <v>22795740.000000004</v>
      </c>
      <c r="H1131" s="106" t="s">
        <v>751</v>
      </c>
      <c r="J1131" s="74"/>
      <c r="K1131" s="74"/>
    </row>
    <row r="1132" spans="1:11" ht="34.5">
      <c r="A1132" s="61"/>
      <c r="B1132" s="62"/>
      <c r="C1132" s="29" t="s">
        <v>505</v>
      </c>
      <c r="D1132" s="268" t="s">
        <v>492</v>
      </c>
      <c r="E1132" s="50">
        <f>(3.97+3.97+2.2+1.4)*1.2</f>
        <v>13.848</v>
      </c>
      <c r="F1132" s="125">
        <v>240000</v>
      </c>
      <c r="G1132" s="125">
        <f t="shared" si="46"/>
        <v>3323520</v>
      </c>
      <c r="H1132" s="106"/>
      <c r="J1132" s="74"/>
      <c r="K1132" s="74"/>
    </row>
    <row r="1133" spans="1:11" ht="15.75">
      <c r="A1133" s="61"/>
      <c r="B1133" s="62"/>
      <c r="C1133" s="29" t="s">
        <v>41</v>
      </c>
      <c r="D1133" s="49" t="s">
        <v>42</v>
      </c>
      <c r="E1133" s="50">
        <v>1</v>
      </c>
      <c r="F1133" s="125">
        <v>238000</v>
      </c>
      <c r="G1133" s="125">
        <f t="shared" si="46"/>
        <v>238000</v>
      </c>
      <c r="H1133" s="106"/>
      <c r="J1133" s="74"/>
      <c r="K1133" s="74"/>
    </row>
    <row r="1134" spans="1:11" ht="15.75">
      <c r="A1134" s="61"/>
      <c r="B1134" s="62"/>
      <c r="C1134" s="29" t="s">
        <v>873</v>
      </c>
      <c r="D1134" s="64" t="s">
        <v>210</v>
      </c>
      <c r="E1134" s="50">
        <v>15</v>
      </c>
      <c r="F1134" s="125">
        <v>9680</v>
      </c>
      <c r="G1134" s="125">
        <f t="shared" si="46"/>
        <v>145200</v>
      </c>
      <c r="H1134" s="105" t="s">
        <v>903</v>
      </c>
      <c r="J1134" s="74"/>
      <c r="K1134" s="74"/>
    </row>
    <row r="1135" spans="1:11" ht="15.75">
      <c r="A1135" s="61"/>
      <c r="B1135" s="62"/>
      <c r="C1135" s="29" t="s">
        <v>1102</v>
      </c>
      <c r="D1135" s="49" t="s">
        <v>43</v>
      </c>
      <c r="E1135" s="50">
        <v>1</v>
      </c>
      <c r="F1135" s="125">
        <v>500000</v>
      </c>
      <c r="G1135" s="125">
        <f t="shared" si="46"/>
        <v>500000</v>
      </c>
      <c r="H1135" s="106"/>
      <c r="J1135" s="74"/>
      <c r="K1135" s="74"/>
    </row>
    <row r="1136" spans="1:11" ht="15.75">
      <c r="A1136" s="61"/>
      <c r="B1136" s="62"/>
      <c r="C1136" s="29" t="s">
        <v>848</v>
      </c>
      <c r="D1136" s="49" t="s">
        <v>37</v>
      </c>
      <c r="E1136" s="50">
        <v>1</v>
      </c>
      <c r="F1136" s="125">
        <v>40000</v>
      </c>
      <c r="G1136" s="125">
        <f t="shared" si="46"/>
        <v>40000</v>
      </c>
      <c r="H1136" s="106" t="s">
        <v>187</v>
      </c>
      <c r="J1136" s="74"/>
      <c r="K1136" s="74"/>
    </row>
    <row r="1137" spans="1:11" ht="15.75">
      <c r="A1137" s="61"/>
      <c r="B1137" s="62"/>
      <c r="C1137" s="29" t="s">
        <v>847</v>
      </c>
      <c r="D1137" s="49" t="s">
        <v>37</v>
      </c>
      <c r="E1137" s="50">
        <v>5</v>
      </c>
      <c r="F1137" s="125">
        <v>20000</v>
      </c>
      <c r="G1137" s="125">
        <f t="shared" si="46"/>
        <v>100000</v>
      </c>
      <c r="H1137" s="106" t="s">
        <v>187</v>
      </c>
      <c r="J1137" s="74"/>
      <c r="K1137" s="74"/>
    </row>
    <row r="1138" spans="1:11" ht="18.75">
      <c r="A1138" s="61"/>
      <c r="B1138" s="62"/>
      <c r="C1138" s="29" t="s">
        <v>406</v>
      </c>
      <c r="D1138" s="37" t="s">
        <v>20</v>
      </c>
      <c r="E1138" s="50">
        <v>2</v>
      </c>
      <c r="F1138" s="125">
        <v>30000</v>
      </c>
      <c r="G1138" s="125">
        <f t="shared" si="46"/>
        <v>60000</v>
      </c>
      <c r="H1138" s="106"/>
      <c r="J1138" s="74"/>
      <c r="K1138" s="74"/>
    </row>
    <row r="1139" spans="1:11" ht="15.75">
      <c r="A1139" s="42"/>
      <c r="B1139" s="43" t="s">
        <v>5</v>
      </c>
      <c r="C1139" s="44"/>
      <c r="D1139" s="45"/>
      <c r="E1139" s="46"/>
      <c r="F1139" s="133"/>
      <c r="G1139" s="156">
        <f>SUM(G1121:G1138)</f>
        <v>292979130</v>
      </c>
      <c r="H1139" s="261"/>
      <c r="J1139" s="74"/>
      <c r="K1139" s="74"/>
    </row>
    <row r="1140" spans="1:11" ht="31.5">
      <c r="A1140" s="54">
        <v>81</v>
      </c>
      <c r="B1140" s="55" t="s">
        <v>407</v>
      </c>
      <c r="C1140" s="56" t="s">
        <v>702</v>
      </c>
      <c r="D1140" s="37" t="s">
        <v>20</v>
      </c>
      <c r="E1140" s="57">
        <v>79.7</v>
      </c>
      <c r="F1140" s="125"/>
      <c r="G1140" s="125">
        <f>F1140*E1140</f>
        <v>0</v>
      </c>
      <c r="H1140" s="105"/>
      <c r="J1140" s="74"/>
      <c r="K1140" s="74"/>
    </row>
    <row r="1141" spans="1:11" ht="15.75">
      <c r="A1141" s="54"/>
      <c r="B1141" s="62" t="s">
        <v>17</v>
      </c>
      <c r="C1141" s="29" t="s">
        <v>195</v>
      </c>
      <c r="D1141" s="37"/>
      <c r="E1141" s="77"/>
      <c r="F1141" s="125"/>
      <c r="G1141" s="125"/>
      <c r="H1141" s="105"/>
      <c r="J1141" s="74"/>
      <c r="K1141" s="74"/>
    </row>
    <row r="1142" spans="1:11" ht="31.5">
      <c r="A1142" s="54"/>
      <c r="B1142" s="30" t="s">
        <v>525</v>
      </c>
      <c r="C1142" s="29" t="s">
        <v>953</v>
      </c>
      <c r="D1142" s="37" t="s">
        <v>20</v>
      </c>
      <c r="E1142" s="84">
        <v>79.7</v>
      </c>
      <c r="F1142" s="125">
        <v>1841000</v>
      </c>
      <c r="G1142" s="125">
        <f aca="true" t="shared" si="47" ref="G1142:G1148">F1142*E1142</f>
        <v>146727700</v>
      </c>
      <c r="H1142" s="105"/>
      <c r="J1142" s="74"/>
      <c r="K1142" s="74"/>
    </row>
    <row r="1143" spans="1:11" ht="55.5" customHeight="1">
      <c r="A1143" s="61"/>
      <c r="B1143" s="62" t="s">
        <v>409</v>
      </c>
      <c r="C1143" s="30" t="s">
        <v>408</v>
      </c>
      <c r="D1143" s="37" t="s">
        <v>20</v>
      </c>
      <c r="E1143" s="60">
        <f>12.2*4</f>
        <v>48.8</v>
      </c>
      <c r="F1143" s="130">
        <v>3230000</v>
      </c>
      <c r="G1143" s="125">
        <f t="shared" si="47"/>
        <v>157624000</v>
      </c>
      <c r="H1143" s="106"/>
      <c r="J1143" s="74"/>
      <c r="K1143" s="74"/>
    </row>
    <row r="1144" spans="1:11" ht="18.75">
      <c r="A1144" s="61"/>
      <c r="B1144" s="30"/>
      <c r="C1144" s="48" t="s">
        <v>166</v>
      </c>
      <c r="D1144" s="37" t="s">
        <v>20</v>
      </c>
      <c r="E1144" s="50">
        <f>12.2*4</f>
        <v>48.8</v>
      </c>
      <c r="F1144" s="125">
        <v>230000</v>
      </c>
      <c r="G1144" s="125">
        <f>F1144*E1144</f>
        <v>11224000</v>
      </c>
      <c r="H1144" s="106"/>
      <c r="J1144" s="74"/>
      <c r="K1144" s="74"/>
    </row>
    <row r="1145" spans="1:11" ht="63">
      <c r="A1145" s="61"/>
      <c r="B1145" s="62"/>
      <c r="C1145" s="29" t="s">
        <v>410</v>
      </c>
      <c r="D1145" s="37" t="s">
        <v>20</v>
      </c>
      <c r="E1145" s="50">
        <f>4*8</f>
        <v>32</v>
      </c>
      <c r="F1145" s="125">
        <f>3230000-(8%*3230000)-150000</f>
        <v>2821600</v>
      </c>
      <c r="G1145" s="125">
        <f t="shared" si="47"/>
        <v>90291200</v>
      </c>
      <c r="H1145" s="106" t="s">
        <v>773</v>
      </c>
      <c r="J1145" s="74"/>
      <c r="K1145" s="74"/>
    </row>
    <row r="1146" spans="1:11" ht="47.25">
      <c r="A1146" s="61"/>
      <c r="B1146" s="62"/>
      <c r="C1146" s="29" t="s">
        <v>478</v>
      </c>
      <c r="D1146" s="37" t="s">
        <v>20</v>
      </c>
      <c r="E1146" s="50">
        <f>4*4.6</f>
        <v>18.4</v>
      </c>
      <c r="F1146" s="125">
        <f>498000*40%</f>
        <v>199200</v>
      </c>
      <c r="G1146" s="125">
        <f t="shared" si="47"/>
        <v>3665279.9999999995</v>
      </c>
      <c r="H1146" s="106" t="s">
        <v>1147</v>
      </c>
      <c r="J1146" s="74"/>
      <c r="K1146" s="74"/>
    </row>
    <row r="1147" spans="1:11" ht="15.75">
      <c r="A1147" s="61"/>
      <c r="B1147" s="62"/>
      <c r="C1147" s="29" t="s">
        <v>41</v>
      </c>
      <c r="D1147" s="49" t="s">
        <v>42</v>
      </c>
      <c r="E1147" s="50">
        <v>1</v>
      </c>
      <c r="F1147" s="125">
        <v>238000</v>
      </c>
      <c r="G1147" s="125">
        <f t="shared" si="47"/>
        <v>238000</v>
      </c>
      <c r="H1147" s="106"/>
      <c r="J1147" s="74"/>
      <c r="K1147" s="74"/>
    </row>
    <row r="1148" spans="1:11" ht="15.75">
      <c r="A1148" s="61"/>
      <c r="B1148" s="62"/>
      <c r="C1148" s="29" t="s">
        <v>836</v>
      </c>
      <c r="D1148" s="64" t="s">
        <v>210</v>
      </c>
      <c r="E1148" s="50">
        <v>30</v>
      </c>
      <c r="F1148" s="125">
        <v>13640</v>
      </c>
      <c r="G1148" s="232">
        <f t="shared" si="47"/>
        <v>409200</v>
      </c>
      <c r="H1148" s="105" t="s">
        <v>903</v>
      </c>
      <c r="J1148" s="74"/>
      <c r="K1148" s="74"/>
    </row>
    <row r="1149" spans="1:11" ht="15.75">
      <c r="A1149" s="42"/>
      <c r="B1149" s="43" t="s">
        <v>5</v>
      </c>
      <c r="C1149" s="44"/>
      <c r="D1149" s="45"/>
      <c r="E1149" s="46"/>
      <c r="F1149" s="133"/>
      <c r="G1149" s="156">
        <f>SUM(G1140:G1148)</f>
        <v>410179380</v>
      </c>
      <c r="H1149" s="261"/>
      <c r="J1149" s="74"/>
      <c r="K1149" s="74"/>
    </row>
    <row r="1150" spans="1:11" ht="31.5">
      <c r="A1150" s="54">
        <v>82</v>
      </c>
      <c r="B1150" s="55" t="s">
        <v>411</v>
      </c>
      <c r="C1150" s="56" t="s">
        <v>704</v>
      </c>
      <c r="D1150" s="37" t="s">
        <v>20</v>
      </c>
      <c r="E1150" s="57">
        <v>79.8</v>
      </c>
      <c r="F1150" s="125"/>
      <c r="G1150" s="125">
        <f>F1150*E1150</f>
        <v>0</v>
      </c>
      <c r="H1150" s="105"/>
      <c r="J1150" s="74"/>
      <c r="K1150" s="74"/>
    </row>
    <row r="1151" spans="1:11" ht="15.75">
      <c r="A1151" s="54"/>
      <c r="B1151" s="62" t="s">
        <v>17</v>
      </c>
      <c r="C1151" s="29" t="s">
        <v>195</v>
      </c>
      <c r="D1151" s="37"/>
      <c r="E1151" s="84"/>
      <c r="F1151" s="125"/>
      <c r="G1151" s="125"/>
      <c r="H1151" s="105"/>
      <c r="J1151" s="74"/>
      <c r="K1151" s="74"/>
    </row>
    <row r="1152" spans="1:11" ht="47.25">
      <c r="A1152" s="54"/>
      <c r="B1152" s="30" t="s">
        <v>553</v>
      </c>
      <c r="C1152" s="29" t="s">
        <v>953</v>
      </c>
      <c r="D1152" s="37" t="s">
        <v>20</v>
      </c>
      <c r="E1152" s="84">
        <v>79.8</v>
      </c>
      <c r="F1152" s="125">
        <v>1841000</v>
      </c>
      <c r="G1152" s="125">
        <f>F1152*E1152</f>
        <v>146911800</v>
      </c>
      <c r="H1152" s="105"/>
      <c r="J1152" s="74"/>
      <c r="K1152" s="74"/>
    </row>
    <row r="1153" spans="1:11" ht="22.5" customHeight="1">
      <c r="A1153" s="61"/>
      <c r="B1153" s="62" t="s">
        <v>412</v>
      </c>
      <c r="C1153" s="30" t="s">
        <v>1103</v>
      </c>
      <c r="D1153" s="64" t="s">
        <v>343</v>
      </c>
      <c r="E1153" s="60">
        <v>1</v>
      </c>
      <c r="F1153" s="130">
        <v>600000</v>
      </c>
      <c r="G1153" s="125">
        <f>F1153*E1153</f>
        <v>600000</v>
      </c>
      <c r="H1153" s="106"/>
      <c r="J1153" s="74"/>
      <c r="K1153" s="74"/>
    </row>
    <row r="1154" spans="1:11" ht="22.5" customHeight="1">
      <c r="A1154" s="61"/>
      <c r="B1154" s="30"/>
      <c r="C1154" s="48" t="s">
        <v>1104</v>
      </c>
      <c r="D1154" s="49" t="s">
        <v>43</v>
      </c>
      <c r="E1154" s="50">
        <v>1</v>
      </c>
      <c r="F1154" s="125">
        <v>600000</v>
      </c>
      <c r="G1154" s="125">
        <f>F1154*E1154</f>
        <v>600000</v>
      </c>
      <c r="H1154" s="106"/>
      <c r="J1154" s="74"/>
      <c r="K1154" s="74"/>
    </row>
    <row r="1155" spans="1:11" ht="15.75">
      <c r="A1155" s="42"/>
      <c r="B1155" s="43" t="s">
        <v>5</v>
      </c>
      <c r="C1155" s="44"/>
      <c r="D1155" s="45"/>
      <c r="E1155" s="46"/>
      <c r="F1155" s="133"/>
      <c r="G1155" s="156">
        <f>SUM(G1150:G1154)</f>
        <v>148111800</v>
      </c>
      <c r="H1155" s="261"/>
      <c r="J1155" s="74"/>
      <c r="K1155" s="74"/>
    </row>
    <row r="1156" spans="1:11" ht="31.5">
      <c r="A1156" s="54">
        <v>83</v>
      </c>
      <c r="B1156" s="55" t="s">
        <v>413</v>
      </c>
      <c r="C1156" s="56" t="s">
        <v>703</v>
      </c>
      <c r="D1156" s="37" t="s">
        <v>20</v>
      </c>
      <c r="E1156" s="57">
        <v>79.9</v>
      </c>
      <c r="F1156" s="134"/>
      <c r="G1156" s="134">
        <f>F1156*E1156</f>
        <v>0</v>
      </c>
      <c r="H1156" s="259"/>
      <c r="I1156" s="263"/>
      <c r="J1156" s="74"/>
      <c r="K1156" s="74"/>
    </row>
    <row r="1157" spans="1:11" ht="15.75">
      <c r="A1157" s="54"/>
      <c r="B1157" s="62" t="s">
        <v>17</v>
      </c>
      <c r="C1157" s="29" t="s">
        <v>195</v>
      </c>
      <c r="D1157" s="37"/>
      <c r="E1157" s="84"/>
      <c r="F1157" s="125"/>
      <c r="G1157" s="125"/>
      <c r="H1157" s="105"/>
      <c r="I1157" s="110"/>
      <c r="J1157" s="74"/>
      <c r="K1157" s="74"/>
    </row>
    <row r="1158" spans="1:11" ht="46.5" customHeight="1">
      <c r="A1158" s="54"/>
      <c r="B1158" s="30" t="s">
        <v>554</v>
      </c>
      <c r="C1158" s="29" t="s">
        <v>953</v>
      </c>
      <c r="D1158" s="37" t="s">
        <v>20</v>
      </c>
      <c r="E1158" s="84">
        <v>79.9</v>
      </c>
      <c r="F1158" s="125">
        <v>1841000</v>
      </c>
      <c r="G1158" s="130">
        <f aca="true" t="shared" si="48" ref="G1158:G1164">F1158*E1158</f>
        <v>147095900</v>
      </c>
      <c r="H1158" s="105"/>
      <c r="I1158" s="110"/>
      <c r="J1158" s="74"/>
      <c r="K1158" s="74"/>
    </row>
    <row r="1159" spans="1:11" ht="78.75" customHeight="1">
      <c r="A1159" s="54"/>
      <c r="B1159" s="62" t="s">
        <v>415</v>
      </c>
      <c r="C1159" s="30" t="s">
        <v>414</v>
      </c>
      <c r="D1159" s="37" t="s">
        <v>20</v>
      </c>
      <c r="E1159" s="60">
        <f>12.6*4</f>
        <v>50.4</v>
      </c>
      <c r="F1159" s="130">
        <f>3230000-(8%*3230000)-160000</f>
        <v>2811600</v>
      </c>
      <c r="G1159" s="130">
        <f t="shared" si="48"/>
        <v>141704640</v>
      </c>
      <c r="H1159" s="106" t="s">
        <v>774</v>
      </c>
      <c r="J1159" s="74"/>
      <c r="K1159" s="74"/>
    </row>
    <row r="1160" spans="1:11" ht="31.5">
      <c r="A1160" s="54"/>
      <c r="B1160" s="30"/>
      <c r="C1160" s="29" t="s">
        <v>479</v>
      </c>
      <c r="D1160" s="37" t="s">
        <v>20</v>
      </c>
      <c r="E1160" s="84">
        <f>6.9*4</f>
        <v>27.6</v>
      </c>
      <c r="F1160" s="125">
        <v>736000</v>
      </c>
      <c r="G1160" s="130">
        <f t="shared" si="48"/>
        <v>20313600</v>
      </c>
      <c r="H1160" s="105"/>
      <c r="J1160" s="74"/>
      <c r="K1160" s="74"/>
    </row>
    <row r="1161" spans="1:11" ht="33">
      <c r="A1161" s="54"/>
      <c r="B1161" s="62"/>
      <c r="C1161" s="29" t="s">
        <v>1172</v>
      </c>
      <c r="D1161" s="37" t="s">
        <v>20</v>
      </c>
      <c r="E1161" s="50">
        <f>7.8*4</f>
        <v>31.2</v>
      </c>
      <c r="F1161" s="125">
        <f>125000*40%</f>
        <v>50000</v>
      </c>
      <c r="G1161" s="130">
        <f t="shared" si="48"/>
        <v>1560000</v>
      </c>
      <c r="H1161" s="105" t="s">
        <v>901</v>
      </c>
      <c r="J1161" s="74"/>
      <c r="K1161" s="74"/>
    </row>
    <row r="1162" spans="1:11" ht="33" customHeight="1">
      <c r="A1162" s="54"/>
      <c r="B1162" s="62"/>
      <c r="C1162" s="29" t="s">
        <v>576</v>
      </c>
      <c r="D1162" s="37" t="s">
        <v>20</v>
      </c>
      <c r="E1162" s="50">
        <f>4*1.4</f>
        <v>5.6</v>
      </c>
      <c r="F1162" s="125">
        <v>736000</v>
      </c>
      <c r="G1162" s="130">
        <f t="shared" si="48"/>
        <v>4121599.9999999995</v>
      </c>
      <c r="H1162" s="105"/>
      <c r="J1162" s="74"/>
      <c r="K1162" s="74"/>
    </row>
    <row r="1163" spans="1:11" ht="15.75">
      <c r="A1163" s="54"/>
      <c r="B1163" s="62"/>
      <c r="C1163" s="29" t="s">
        <v>41</v>
      </c>
      <c r="D1163" s="49" t="s">
        <v>42</v>
      </c>
      <c r="E1163" s="50">
        <v>1</v>
      </c>
      <c r="F1163" s="125">
        <v>238000</v>
      </c>
      <c r="G1163" s="130">
        <f t="shared" si="48"/>
        <v>238000</v>
      </c>
      <c r="H1163" s="105"/>
      <c r="J1163" s="74"/>
      <c r="K1163" s="74"/>
    </row>
    <row r="1164" spans="1:11" ht="15.75">
      <c r="A1164" s="54"/>
      <c r="B1164" s="62"/>
      <c r="C1164" s="29" t="s">
        <v>836</v>
      </c>
      <c r="D1164" s="64" t="s">
        <v>210</v>
      </c>
      <c r="E1164" s="50">
        <v>30</v>
      </c>
      <c r="F1164" s="125">
        <v>13640</v>
      </c>
      <c r="G1164" s="155">
        <f t="shared" si="48"/>
        <v>409200</v>
      </c>
      <c r="H1164" s="105" t="s">
        <v>903</v>
      </c>
      <c r="J1164" s="74"/>
      <c r="K1164" s="74"/>
    </row>
    <row r="1165" spans="1:11" s="149" customFormat="1" ht="15.75">
      <c r="A1165" s="145"/>
      <c r="B1165" s="43" t="s">
        <v>5</v>
      </c>
      <c r="C1165" s="146"/>
      <c r="D1165" s="147"/>
      <c r="E1165" s="209"/>
      <c r="F1165" s="148"/>
      <c r="G1165" s="272">
        <f>SUM(G1156:G1164)</f>
        <v>315442940</v>
      </c>
      <c r="H1165" s="260"/>
      <c r="I1165" s="115"/>
      <c r="J1165" s="210"/>
      <c r="K1165" s="210"/>
    </row>
    <row r="1166" spans="1:11" ht="31.5">
      <c r="A1166" s="54">
        <v>84</v>
      </c>
      <c r="B1166" s="55" t="s">
        <v>416</v>
      </c>
      <c r="C1166" s="56" t="s">
        <v>706</v>
      </c>
      <c r="D1166" s="37" t="s">
        <v>20</v>
      </c>
      <c r="E1166" s="57">
        <v>66.6</v>
      </c>
      <c r="F1166" s="125"/>
      <c r="G1166" s="125">
        <f>F1166*E1166</f>
        <v>0</v>
      </c>
      <c r="H1166" s="105"/>
      <c r="J1166" s="74"/>
      <c r="K1166" s="74"/>
    </row>
    <row r="1167" spans="1:11" ht="21" customHeight="1">
      <c r="A1167" s="54"/>
      <c r="B1167" s="55" t="s">
        <v>705</v>
      </c>
      <c r="C1167" s="29" t="s">
        <v>195</v>
      </c>
      <c r="D1167" s="37"/>
      <c r="E1167" s="84"/>
      <c r="F1167" s="125"/>
      <c r="G1167" s="125"/>
      <c r="H1167" s="105"/>
      <c r="J1167" s="74"/>
      <c r="K1167" s="74"/>
    </row>
    <row r="1168" spans="1:11" ht="63">
      <c r="A1168" s="54"/>
      <c r="B1168" s="30" t="s">
        <v>555</v>
      </c>
      <c r="C1168" s="29" t="s">
        <v>803</v>
      </c>
      <c r="D1168" s="37" t="s">
        <v>20</v>
      </c>
      <c r="E1168" s="84">
        <v>66.6</v>
      </c>
      <c r="F1168" s="125">
        <v>14174000</v>
      </c>
      <c r="G1168" s="125">
        <f>F1168*E1168</f>
        <v>943988399.9999999</v>
      </c>
      <c r="H1168" s="105"/>
      <c r="J1168" s="74"/>
      <c r="K1168" s="74"/>
    </row>
    <row r="1169" spans="1:11" ht="31.5" customHeight="1">
      <c r="A1169" s="54"/>
      <c r="B1169" s="30" t="s">
        <v>417</v>
      </c>
      <c r="C1169" s="29" t="s">
        <v>25</v>
      </c>
      <c r="D1169" s="37" t="s">
        <v>32</v>
      </c>
      <c r="E1169" s="84">
        <f>(24.5*3*0.1)</f>
        <v>7.3500000000000005</v>
      </c>
      <c r="F1169" s="125">
        <v>1250000</v>
      </c>
      <c r="G1169" s="125">
        <f aca="true" t="shared" si="49" ref="G1169:G1175">F1169*E1169</f>
        <v>9187500</v>
      </c>
      <c r="H1169" s="105"/>
      <c r="J1169" s="74"/>
      <c r="K1169" s="74"/>
    </row>
    <row r="1170" spans="1:11" ht="18.75">
      <c r="A1170" s="61"/>
      <c r="B1170" s="224"/>
      <c r="C1170" s="30" t="s">
        <v>26</v>
      </c>
      <c r="D1170" s="37" t="s">
        <v>20</v>
      </c>
      <c r="E1170" s="60">
        <f>(24.5*3)*2</f>
        <v>147</v>
      </c>
      <c r="F1170" s="125">
        <v>82000</v>
      </c>
      <c r="G1170" s="125">
        <f t="shared" si="49"/>
        <v>12054000</v>
      </c>
      <c r="H1170" s="106"/>
      <c r="J1170" s="74"/>
      <c r="K1170" s="74"/>
    </row>
    <row r="1171" spans="1:11" ht="35.25" customHeight="1">
      <c r="A1171" s="61"/>
      <c r="B1171" s="30"/>
      <c r="C1171" s="48" t="s">
        <v>35</v>
      </c>
      <c r="D1171" s="37" t="s">
        <v>20</v>
      </c>
      <c r="E1171" s="50">
        <f>6.53*3</f>
        <v>19.59</v>
      </c>
      <c r="F1171" s="125">
        <v>325000</v>
      </c>
      <c r="G1171" s="125">
        <f t="shared" si="49"/>
        <v>6366750</v>
      </c>
      <c r="H1171" s="106"/>
      <c r="J1171" s="74"/>
      <c r="K1171" s="74"/>
    </row>
    <row r="1172" spans="1:11" ht="15.75">
      <c r="A1172" s="140"/>
      <c r="B1172" s="224"/>
      <c r="C1172" s="183" t="s">
        <v>1000</v>
      </c>
      <c r="D1172" s="64" t="s">
        <v>43</v>
      </c>
      <c r="E1172" s="225">
        <v>4</v>
      </c>
      <c r="F1172" s="143">
        <v>600000</v>
      </c>
      <c r="G1172" s="125">
        <f t="shared" si="49"/>
        <v>2400000</v>
      </c>
      <c r="H1172" s="251"/>
      <c r="J1172" s="74"/>
      <c r="K1172" s="74"/>
    </row>
    <row r="1173" spans="1:11" ht="15.75">
      <c r="A1173" s="61"/>
      <c r="B1173" s="30"/>
      <c r="C1173" s="48" t="s">
        <v>1015</v>
      </c>
      <c r="D1173" s="64" t="s">
        <v>43</v>
      </c>
      <c r="E1173" s="60">
        <v>2</v>
      </c>
      <c r="F1173" s="130">
        <v>1800000</v>
      </c>
      <c r="G1173" s="125">
        <f t="shared" si="49"/>
        <v>3600000</v>
      </c>
      <c r="H1173" s="106"/>
      <c r="J1173" s="74"/>
      <c r="K1173" s="74"/>
    </row>
    <row r="1174" spans="1:11" ht="15.75">
      <c r="A1174" s="61"/>
      <c r="B1174" s="30"/>
      <c r="C1174" s="48" t="s">
        <v>1105</v>
      </c>
      <c r="D1174" s="64" t="s">
        <v>43</v>
      </c>
      <c r="E1174" s="60">
        <v>2</v>
      </c>
      <c r="F1174" s="130">
        <v>2450000</v>
      </c>
      <c r="G1174" s="125">
        <f t="shared" si="49"/>
        <v>4900000</v>
      </c>
      <c r="H1174" s="106"/>
      <c r="J1174" s="74"/>
      <c r="K1174" s="74"/>
    </row>
    <row r="1175" spans="1:11" ht="15.75">
      <c r="A1175" s="140"/>
      <c r="B1175" s="224"/>
      <c r="C1175" s="183" t="s">
        <v>1106</v>
      </c>
      <c r="D1175" s="273" t="s">
        <v>43</v>
      </c>
      <c r="E1175" s="225">
        <v>1</v>
      </c>
      <c r="F1175" s="143">
        <v>604000</v>
      </c>
      <c r="G1175" s="125">
        <f t="shared" si="49"/>
        <v>604000</v>
      </c>
      <c r="H1175" s="144"/>
      <c r="J1175" s="74"/>
      <c r="K1175" s="74"/>
    </row>
    <row r="1176" spans="1:11" ht="15.75">
      <c r="A1176" s="42"/>
      <c r="B1176" s="43" t="s">
        <v>5</v>
      </c>
      <c r="C1176" s="44"/>
      <c r="D1176" s="45"/>
      <c r="E1176" s="46"/>
      <c r="F1176" s="133"/>
      <c r="G1176" s="156">
        <f>SUM(G1166:G1175)</f>
        <v>983100649.9999999</v>
      </c>
      <c r="H1176" s="261"/>
      <c r="J1176" s="74"/>
      <c r="K1176" s="74"/>
    </row>
    <row r="1177" spans="1:11" ht="31.5">
      <c r="A1177" s="54">
        <v>85</v>
      </c>
      <c r="B1177" s="55" t="s">
        <v>418</v>
      </c>
      <c r="C1177" s="56" t="s">
        <v>707</v>
      </c>
      <c r="D1177" s="37" t="s">
        <v>20</v>
      </c>
      <c r="E1177" s="57">
        <v>477.8</v>
      </c>
      <c r="F1177" s="125"/>
      <c r="G1177" s="125"/>
      <c r="H1177" s="105"/>
      <c r="J1177" s="74"/>
      <c r="K1177" s="74"/>
    </row>
    <row r="1178" spans="1:11" ht="31.5">
      <c r="A1178" s="54"/>
      <c r="B1178" s="62" t="s">
        <v>419</v>
      </c>
      <c r="C1178" s="29" t="s">
        <v>195</v>
      </c>
      <c r="D1178" s="37"/>
      <c r="E1178" s="84"/>
      <c r="F1178" s="125"/>
      <c r="G1178" s="125"/>
      <c r="H1178" s="105"/>
      <c r="J1178" s="74"/>
      <c r="K1178" s="74"/>
    </row>
    <row r="1179" spans="1:11" ht="77.25" customHeight="1">
      <c r="A1179" s="54"/>
      <c r="B1179" s="30" t="s">
        <v>556</v>
      </c>
      <c r="C1179" s="29" t="s">
        <v>820</v>
      </c>
      <c r="D1179" s="37" t="s">
        <v>20</v>
      </c>
      <c r="E1179" s="84">
        <v>198.1</v>
      </c>
      <c r="F1179" s="125">
        <v>2041000</v>
      </c>
      <c r="G1179" s="125">
        <f>F1179*E1179</f>
        <v>404322100</v>
      </c>
      <c r="H1179" s="105"/>
      <c r="J1179" s="74"/>
      <c r="K1179" s="74"/>
    </row>
    <row r="1180" spans="1:11" ht="31.5">
      <c r="A1180" s="54"/>
      <c r="B1180" s="62" t="s">
        <v>270</v>
      </c>
      <c r="C1180" s="48" t="s">
        <v>957</v>
      </c>
      <c r="D1180" s="37" t="s">
        <v>20</v>
      </c>
      <c r="E1180" s="84">
        <v>279.70000000000005</v>
      </c>
      <c r="F1180" s="125">
        <v>1841000</v>
      </c>
      <c r="G1180" s="125">
        <f>F1180*E1180</f>
        <v>514927700.00000006</v>
      </c>
      <c r="H1180" s="105"/>
      <c r="J1180" s="74"/>
      <c r="K1180" s="74"/>
    </row>
    <row r="1181" spans="1:11" ht="31.5">
      <c r="A1181" s="54"/>
      <c r="B1181" s="55"/>
      <c r="C1181" s="29" t="s">
        <v>708</v>
      </c>
      <c r="D1181" s="37" t="s">
        <v>20</v>
      </c>
      <c r="E1181" s="84">
        <v>1006.6</v>
      </c>
      <c r="F1181" s="125"/>
      <c r="G1181" s="125"/>
      <c r="H1181" s="105"/>
      <c r="J1181" s="74"/>
      <c r="K1181" s="74"/>
    </row>
    <row r="1182" spans="1:11" ht="15.75">
      <c r="A1182" s="54"/>
      <c r="B1182" s="55"/>
      <c r="C1182" s="29" t="s">
        <v>195</v>
      </c>
      <c r="D1182" s="37"/>
      <c r="E1182" s="84"/>
      <c r="F1182" s="125"/>
      <c r="G1182" s="125"/>
      <c r="H1182" s="105"/>
      <c r="J1182" s="74"/>
      <c r="K1182" s="74"/>
    </row>
    <row r="1183" spans="1:11" ht="105.75" customHeight="1">
      <c r="A1183" s="54"/>
      <c r="B1183" s="55"/>
      <c r="C1183" s="29" t="s">
        <v>956</v>
      </c>
      <c r="D1183" s="37" t="s">
        <v>20</v>
      </c>
      <c r="E1183" s="84">
        <v>1006.6</v>
      </c>
      <c r="F1183" s="125">
        <v>24228000</v>
      </c>
      <c r="G1183" s="125">
        <f>F1183*E1183</f>
        <v>24387904800</v>
      </c>
      <c r="H1183" s="105"/>
      <c r="J1183" s="74"/>
      <c r="K1183" s="74"/>
    </row>
    <row r="1184" spans="1:11" ht="88.5" customHeight="1">
      <c r="A1184" s="61"/>
      <c r="B1184" s="62"/>
      <c r="C1184" s="30" t="s">
        <v>420</v>
      </c>
      <c r="D1184" s="37" t="s">
        <v>20</v>
      </c>
      <c r="E1184" s="60">
        <f>8.4*5.2</f>
        <v>43.68000000000001</v>
      </c>
      <c r="F1184" s="130">
        <v>3230000</v>
      </c>
      <c r="G1184" s="125">
        <f aca="true" t="shared" si="50" ref="G1184:G1236">F1184*E1184</f>
        <v>141086400.00000003</v>
      </c>
      <c r="H1184" s="106" t="s">
        <v>486</v>
      </c>
      <c r="J1184" s="74"/>
      <c r="K1184" s="74"/>
    </row>
    <row r="1185" spans="1:11" ht="37.5" customHeight="1">
      <c r="A1185" s="61"/>
      <c r="B1185" s="30"/>
      <c r="C1185" s="48" t="s">
        <v>421</v>
      </c>
      <c r="D1185" s="37" t="s">
        <v>20</v>
      </c>
      <c r="E1185" s="50">
        <f>2.3*2.1</f>
        <v>4.83</v>
      </c>
      <c r="F1185" s="125">
        <v>326000</v>
      </c>
      <c r="G1185" s="125">
        <f t="shared" si="50"/>
        <v>1574580</v>
      </c>
      <c r="H1185" s="106"/>
      <c r="J1185" s="74"/>
      <c r="K1185" s="74"/>
    </row>
    <row r="1186" spans="1:11" ht="78.75">
      <c r="A1186" s="61"/>
      <c r="B1186" s="62"/>
      <c r="C1186" s="29" t="s">
        <v>422</v>
      </c>
      <c r="D1186" s="37" t="s">
        <v>20</v>
      </c>
      <c r="E1186" s="50">
        <f>2.8*2.3</f>
        <v>6.4399999999999995</v>
      </c>
      <c r="F1186" s="125">
        <f>3310000+225000</f>
        <v>3535000</v>
      </c>
      <c r="G1186" s="125">
        <f t="shared" si="50"/>
        <v>22765400</v>
      </c>
      <c r="H1186" s="106" t="s">
        <v>775</v>
      </c>
      <c r="J1186" s="74"/>
      <c r="K1186" s="74"/>
    </row>
    <row r="1187" spans="1:11" ht="15.75">
      <c r="A1187" s="61"/>
      <c r="B1187" s="62"/>
      <c r="C1187" s="29" t="s">
        <v>489</v>
      </c>
      <c r="D1187" s="37" t="s">
        <v>373</v>
      </c>
      <c r="E1187" s="50">
        <v>1</v>
      </c>
      <c r="F1187" s="125">
        <v>820000</v>
      </c>
      <c r="G1187" s="125">
        <f t="shared" si="50"/>
        <v>820000</v>
      </c>
      <c r="H1187" s="106" t="s">
        <v>187</v>
      </c>
      <c r="J1187" s="74"/>
      <c r="K1187" s="74"/>
    </row>
    <row r="1188" spans="1:11" ht="18.75">
      <c r="A1188" s="61"/>
      <c r="B1188" s="62"/>
      <c r="C1188" s="29" t="s">
        <v>36</v>
      </c>
      <c r="D1188" s="37" t="s">
        <v>20</v>
      </c>
      <c r="E1188" s="50">
        <f>(0.9*10)+(8.3*5.2)+(1.5*2)+(3.23*27)+(12.65*6)+(6*2)+(2.9*4.4)+(3.4*1.5)</f>
        <v>248.13</v>
      </c>
      <c r="F1188" s="125">
        <v>125000</v>
      </c>
      <c r="G1188" s="125">
        <f t="shared" si="50"/>
        <v>31016250</v>
      </c>
      <c r="H1188" s="106"/>
      <c r="J1188" s="74"/>
      <c r="K1188" s="74"/>
    </row>
    <row r="1189" spans="1:11" ht="18.75">
      <c r="A1189" s="61"/>
      <c r="B1189" s="62"/>
      <c r="C1189" s="29" t="s">
        <v>25</v>
      </c>
      <c r="D1189" s="37" t="s">
        <v>32</v>
      </c>
      <c r="E1189" s="50">
        <f>(40*2*0.1)+((12*0.3*0.1)*11)+((6*0.3*0.1)*3)+((3.6*0.3*0.1)*2)+(14*0.2*0.1)</f>
        <v>12.995999999999999</v>
      </c>
      <c r="F1189" s="125">
        <v>1250000</v>
      </c>
      <c r="G1189" s="125">
        <f t="shared" si="50"/>
        <v>16244999.999999998</v>
      </c>
      <c r="H1189" s="106"/>
      <c r="J1189" s="74"/>
      <c r="K1189" s="74"/>
    </row>
    <row r="1190" spans="1:11" ht="18.75">
      <c r="A1190" s="61"/>
      <c r="B1190" s="62"/>
      <c r="C1190" s="29" t="s">
        <v>116</v>
      </c>
      <c r="D1190" s="37" t="s">
        <v>20</v>
      </c>
      <c r="E1190" s="50">
        <f>(4.5*4.3)+(2.3*2.1)</f>
        <v>24.18</v>
      </c>
      <c r="F1190" s="125">
        <v>125000</v>
      </c>
      <c r="G1190" s="125">
        <f t="shared" si="50"/>
        <v>3022500</v>
      </c>
      <c r="H1190" s="106"/>
      <c r="J1190" s="74"/>
      <c r="K1190" s="74"/>
    </row>
    <row r="1191" spans="1:11" ht="31.5">
      <c r="A1191" s="61"/>
      <c r="B1191" s="62"/>
      <c r="C1191" s="29" t="s">
        <v>423</v>
      </c>
      <c r="D1191" s="37" t="s">
        <v>20</v>
      </c>
      <c r="E1191" s="50">
        <f>2.2*0.8</f>
        <v>1.7600000000000002</v>
      </c>
      <c r="F1191" s="125">
        <v>410000</v>
      </c>
      <c r="G1191" s="125">
        <f t="shared" si="50"/>
        <v>721600.0000000001</v>
      </c>
      <c r="H1191" s="106"/>
      <c r="J1191" s="74"/>
      <c r="K1191" s="74"/>
    </row>
    <row r="1192" spans="1:11" ht="47.25">
      <c r="A1192" s="61"/>
      <c r="B1192" s="62"/>
      <c r="C1192" s="29" t="s">
        <v>424</v>
      </c>
      <c r="D1192" s="37" t="s">
        <v>20</v>
      </c>
      <c r="E1192" s="50">
        <f>3*2</f>
        <v>6</v>
      </c>
      <c r="F1192" s="125">
        <f>695000</f>
        <v>695000</v>
      </c>
      <c r="G1192" s="125">
        <f t="shared" si="50"/>
        <v>4170000</v>
      </c>
      <c r="H1192" s="106"/>
      <c r="J1192" s="74"/>
      <c r="K1192" s="74"/>
    </row>
    <row r="1193" spans="1:11" ht="42" customHeight="1">
      <c r="A1193" s="61"/>
      <c r="B1193" s="62"/>
      <c r="C1193" s="29" t="s">
        <v>493</v>
      </c>
      <c r="D1193" s="268" t="s">
        <v>492</v>
      </c>
      <c r="E1193" s="50">
        <f>(3*3)+(3*3)+(2*3)+(1.5*3)</f>
        <v>28.5</v>
      </c>
      <c r="F1193" s="125">
        <v>160000</v>
      </c>
      <c r="G1193" s="125">
        <f t="shared" si="50"/>
        <v>4560000</v>
      </c>
      <c r="H1193" s="106"/>
      <c r="J1193" s="74"/>
      <c r="K1193" s="74"/>
    </row>
    <row r="1194" spans="1:11" ht="36" customHeight="1">
      <c r="A1194" s="61"/>
      <c r="B1194" s="62"/>
      <c r="C1194" s="29" t="s">
        <v>39</v>
      </c>
      <c r="D1194" s="37" t="s">
        <v>20</v>
      </c>
      <c r="E1194" s="50">
        <f>(4.5*10.4+80+15.8)*1.8</f>
        <v>256.68000000000006</v>
      </c>
      <c r="F1194" s="125">
        <v>110000</v>
      </c>
      <c r="G1194" s="125">
        <f t="shared" si="50"/>
        <v>28234800.000000007</v>
      </c>
      <c r="H1194" s="106"/>
      <c r="J1194" s="74"/>
      <c r="K1194" s="74"/>
    </row>
    <row r="1195" spans="1:11" ht="33.75" customHeight="1">
      <c r="A1195" s="61"/>
      <c r="B1195" s="62"/>
      <c r="C1195" s="29" t="s">
        <v>35</v>
      </c>
      <c r="D1195" s="37" t="s">
        <v>20</v>
      </c>
      <c r="E1195" s="50">
        <f>10*2</f>
        <v>20</v>
      </c>
      <c r="F1195" s="125">
        <v>325000</v>
      </c>
      <c r="G1195" s="125">
        <f t="shared" si="50"/>
        <v>6500000</v>
      </c>
      <c r="H1195" s="106"/>
      <c r="J1195" s="74"/>
      <c r="K1195" s="74"/>
    </row>
    <row r="1196" spans="1:11" ht="15.75">
      <c r="A1196" s="61"/>
      <c r="B1196" s="62"/>
      <c r="C1196" s="29" t="s">
        <v>836</v>
      </c>
      <c r="D1196" s="64" t="s">
        <v>210</v>
      </c>
      <c r="E1196" s="50">
        <v>15</v>
      </c>
      <c r="F1196" s="125">
        <v>13640</v>
      </c>
      <c r="G1196" s="130">
        <f t="shared" si="50"/>
        <v>204600</v>
      </c>
      <c r="H1196" s="105" t="s">
        <v>903</v>
      </c>
      <c r="J1196" s="74"/>
      <c r="K1196" s="74"/>
    </row>
    <row r="1197" spans="1:11" ht="15.75">
      <c r="A1197" s="61"/>
      <c r="B1197" s="62"/>
      <c r="C1197" s="29" t="s">
        <v>873</v>
      </c>
      <c r="D1197" s="64" t="s">
        <v>210</v>
      </c>
      <c r="E1197" s="50">
        <v>20</v>
      </c>
      <c r="F1197" s="125">
        <v>9680</v>
      </c>
      <c r="G1197" s="130">
        <f t="shared" si="50"/>
        <v>193600</v>
      </c>
      <c r="H1197" s="105" t="s">
        <v>903</v>
      </c>
      <c r="J1197" s="74"/>
      <c r="K1197" s="74"/>
    </row>
    <row r="1198" spans="1:11" ht="18.75">
      <c r="A1198" s="61"/>
      <c r="B1198" s="62"/>
      <c r="C1198" s="29" t="s">
        <v>135</v>
      </c>
      <c r="D1198" s="37" t="s">
        <v>20</v>
      </c>
      <c r="E1198" s="50">
        <v>8</v>
      </c>
      <c r="F1198" s="125">
        <v>6000</v>
      </c>
      <c r="G1198" s="125">
        <f t="shared" si="50"/>
        <v>48000</v>
      </c>
      <c r="H1198" s="106"/>
      <c r="J1198" s="74"/>
      <c r="K1198" s="74"/>
    </row>
    <row r="1199" spans="1:11" ht="18.75">
      <c r="A1199" s="61"/>
      <c r="B1199" s="62"/>
      <c r="C1199" s="29" t="s">
        <v>425</v>
      </c>
      <c r="D1199" s="37" t="s">
        <v>20</v>
      </c>
      <c r="E1199" s="50">
        <v>30</v>
      </c>
      <c r="F1199" s="125">
        <v>6000</v>
      </c>
      <c r="G1199" s="125">
        <f t="shared" si="50"/>
        <v>180000</v>
      </c>
      <c r="H1199" s="106"/>
      <c r="J1199" s="74"/>
      <c r="K1199" s="74"/>
    </row>
    <row r="1200" spans="1:11" ht="18.75">
      <c r="A1200" s="61"/>
      <c r="B1200" s="62"/>
      <c r="C1200" s="29" t="s">
        <v>426</v>
      </c>
      <c r="D1200" s="37" t="s">
        <v>20</v>
      </c>
      <c r="E1200" s="50">
        <v>30</v>
      </c>
      <c r="F1200" s="125">
        <v>30000</v>
      </c>
      <c r="G1200" s="125">
        <f t="shared" si="50"/>
        <v>900000</v>
      </c>
      <c r="H1200" s="106"/>
      <c r="J1200" s="74"/>
      <c r="K1200" s="74"/>
    </row>
    <row r="1201" spans="1:11" ht="18.75">
      <c r="A1201" s="61"/>
      <c r="B1201" s="62"/>
      <c r="C1201" s="29" t="s">
        <v>427</v>
      </c>
      <c r="D1201" s="37" t="s">
        <v>20</v>
      </c>
      <c r="E1201" s="50">
        <v>1</v>
      </c>
      <c r="F1201" s="125">
        <v>6000</v>
      </c>
      <c r="G1201" s="125">
        <f t="shared" si="50"/>
        <v>6000</v>
      </c>
      <c r="H1201" s="106"/>
      <c r="J1201" s="74"/>
      <c r="K1201" s="74"/>
    </row>
    <row r="1202" spans="1:11" ht="18.75">
      <c r="A1202" s="61"/>
      <c r="B1202" s="62"/>
      <c r="C1202" s="29" t="s">
        <v>1107</v>
      </c>
      <c r="D1202" s="37" t="s">
        <v>20</v>
      </c>
      <c r="E1202" s="50">
        <v>0.5</v>
      </c>
      <c r="F1202" s="125">
        <v>10000</v>
      </c>
      <c r="G1202" s="125">
        <f t="shared" si="50"/>
        <v>5000</v>
      </c>
      <c r="H1202" s="106"/>
      <c r="J1202" s="74"/>
      <c r="K1202" s="74"/>
    </row>
    <row r="1203" spans="1:11" ht="18.75">
      <c r="A1203" s="61"/>
      <c r="B1203" s="62"/>
      <c r="C1203" s="29" t="s">
        <v>142</v>
      </c>
      <c r="D1203" s="37" t="s">
        <v>20</v>
      </c>
      <c r="E1203" s="50">
        <v>10</v>
      </c>
      <c r="F1203" s="125">
        <v>12000</v>
      </c>
      <c r="G1203" s="125">
        <f t="shared" si="50"/>
        <v>120000</v>
      </c>
      <c r="H1203" s="106"/>
      <c r="J1203" s="74"/>
      <c r="K1203" s="74"/>
    </row>
    <row r="1204" spans="1:11" ht="18.75">
      <c r="A1204" s="61"/>
      <c r="B1204" s="62"/>
      <c r="C1204" s="29" t="s">
        <v>1108</v>
      </c>
      <c r="D1204" s="37" t="s">
        <v>20</v>
      </c>
      <c r="E1204" s="50">
        <v>2</v>
      </c>
      <c r="F1204" s="125">
        <v>6000</v>
      </c>
      <c r="G1204" s="125">
        <f t="shared" si="50"/>
        <v>12000</v>
      </c>
      <c r="H1204" s="106"/>
      <c r="J1204" s="74"/>
      <c r="K1204" s="74"/>
    </row>
    <row r="1205" spans="1:11" ht="18.75">
      <c r="A1205" s="61"/>
      <c r="B1205" s="62"/>
      <c r="C1205" s="29" t="s">
        <v>428</v>
      </c>
      <c r="D1205" s="37" t="s">
        <v>20</v>
      </c>
      <c r="E1205" s="50">
        <v>10</v>
      </c>
      <c r="F1205" s="125">
        <v>6000</v>
      </c>
      <c r="G1205" s="125">
        <f t="shared" si="50"/>
        <v>60000</v>
      </c>
      <c r="H1205" s="106"/>
      <c r="J1205" s="74"/>
      <c r="K1205" s="74"/>
    </row>
    <row r="1206" spans="1:11" ht="18.75">
      <c r="A1206" s="61"/>
      <c r="B1206" s="62"/>
      <c r="C1206" s="29" t="s">
        <v>475</v>
      </c>
      <c r="D1206" s="37" t="s">
        <v>20</v>
      </c>
      <c r="E1206" s="50">
        <v>5</v>
      </c>
      <c r="F1206" s="125">
        <v>6000</v>
      </c>
      <c r="G1206" s="125">
        <f t="shared" si="50"/>
        <v>30000</v>
      </c>
      <c r="H1206" s="106"/>
      <c r="J1206" s="74"/>
      <c r="K1206" s="74"/>
    </row>
    <row r="1207" spans="1:11" ht="15.75">
      <c r="A1207" s="61"/>
      <c r="B1207" s="62"/>
      <c r="C1207" s="29" t="s">
        <v>1135</v>
      </c>
      <c r="D1207" s="37" t="s">
        <v>145</v>
      </c>
      <c r="E1207" s="50">
        <v>20</v>
      </c>
      <c r="F1207" s="125">
        <v>10400</v>
      </c>
      <c r="G1207" s="125">
        <f t="shared" si="50"/>
        <v>208000</v>
      </c>
      <c r="H1207" s="106"/>
      <c r="J1207" s="74"/>
      <c r="K1207" s="74"/>
    </row>
    <row r="1208" spans="1:11" ht="15.75">
      <c r="A1208" s="61"/>
      <c r="B1208" s="62"/>
      <c r="C1208" s="29" t="s">
        <v>1109</v>
      </c>
      <c r="D1208" s="49" t="s">
        <v>43</v>
      </c>
      <c r="E1208" s="50">
        <v>2</v>
      </c>
      <c r="F1208" s="125">
        <v>575000</v>
      </c>
      <c r="G1208" s="125">
        <f t="shared" si="50"/>
        <v>1150000</v>
      </c>
      <c r="H1208" s="106"/>
      <c r="J1208" s="74"/>
      <c r="K1208" s="74"/>
    </row>
    <row r="1209" spans="1:11" ht="15.75">
      <c r="A1209" s="61"/>
      <c r="B1209" s="62"/>
      <c r="C1209" s="29" t="s">
        <v>1048</v>
      </c>
      <c r="D1209" s="49" t="s">
        <v>43</v>
      </c>
      <c r="E1209" s="50">
        <v>1</v>
      </c>
      <c r="F1209" s="125">
        <v>40000</v>
      </c>
      <c r="G1209" s="125">
        <f t="shared" si="50"/>
        <v>40000</v>
      </c>
      <c r="H1209" s="106"/>
      <c r="J1209" s="74"/>
      <c r="K1209" s="74"/>
    </row>
    <row r="1210" spans="1:11" ht="15.75">
      <c r="A1210" s="61"/>
      <c r="B1210" s="62"/>
      <c r="C1210" s="29" t="s">
        <v>1041</v>
      </c>
      <c r="D1210" s="49" t="s">
        <v>43</v>
      </c>
      <c r="E1210" s="50">
        <v>3</v>
      </c>
      <c r="F1210" s="125">
        <v>250000</v>
      </c>
      <c r="G1210" s="125">
        <f t="shared" si="50"/>
        <v>750000</v>
      </c>
      <c r="H1210" s="106"/>
      <c r="J1210" s="74"/>
      <c r="K1210" s="74"/>
    </row>
    <row r="1211" spans="1:11" ht="15.75">
      <c r="A1211" s="61"/>
      <c r="B1211" s="62"/>
      <c r="C1211" s="29" t="s">
        <v>429</v>
      </c>
      <c r="D1211" s="49" t="s">
        <v>145</v>
      </c>
      <c r="E1211" s="50">
        <v>5</v>
      </c>
      <c r="F1211" s="125">
        <v>160000</v>
      </c>
      <c r="G1211" s="125">
        <f t="shared" si="50"/>
        <v>800000</v>
      </c>
      <c r="H1211" s="106"/>
      <c r="J1211" s="74"/>
      <c r="K1211" s="74"/>
    </row>
    <row r="1212" spans="1:11" ht="15.75">
      <c r="A1212" s="61"/>
      <c r="B1212" s="62"/>
      <c r="C1212" s="29" t="s">
        <v>1110</v>
      </c>
      <c r="D1212" s="49" t="s">
        <v>43</v>
      </c>
      <c r="E1212" s="50">
        <v>1</v>
      </c>
      <c r="F1212" s="125">
        <v>200000</v>
      </c>
      <c r="G1212" s="125">
        <f t="shared" si="50"/>
        <v>200000</v>
      </c>
      <c r="H1212" s="106"/>
      <c r="J1212" s="74"/>
      <c r="K1212" s="74"/>
    </row>
    <row r="1213" spans="1:11" ht="15.75">
      <c r="A1213" s="61"/>
      <c r="B1213" s="62"/>
      <c r="C1213" s="29" t="s">
        <v>1111</v>
      </c>
      <c r="D1213" s="49" t="s">
        <v>43</v>
      </c>
      <c r="E1213" s="50">
        <v>1</v>
      </c>
      <c r="F1213" s="125">
        <v>240000</v>
      </c>
      <c r="G1213" s="125">
        <f t="shared" si="50"/>
        <v>240000</v>
      </c>
      <c r="H1213" s="106"/>
      <c r="J1213" s="74"/>
      <c r="K1213" s="74"/>
    </row>
    <row r="1214" spans="1:11" ht="15.75">
      <c r="A1214" s="61"/>
      <c r="B1214" s="62"/>
      <c r="C1214" s="29" t="s">
        <v>1112</v>
      </c>
      <c r="D1214" s="49" t="s">
        <v>43</v>
      </c>
      <c r="E1214" s="50">
        <v>1</v>
      </c>
      <c r="F1214" s="125">
        <v>240000</v>
      </c>
      <c r="G1214" s="125">
        <f t="shared" si="50"/>
        <v>240000</v>
      </c>
      <c r="H1214" s="106"/>
      <c r="J1214" s="74"/>
      <c r="K1214" s="74"/>
    </row>
    <row r="1215" spans="1:11" ht="15.75">
      <c r="A1215" s="61"/>
      <c r="B1215" s="62"/>
      <c r="C1215" s="29" t="s">
        <v>1113</v>
      </c>
      <c r="D1215" s="49" t="s">
        <v>43</v>
      </c>
      <c r="E1215" s="50">
        <v>1</v>
      </c>
      <c r="F1215" s="125">
        <v>240000</v>
      </c>
      <c r="G1215" s="125">
        <f t="shared" si="50"/>
        <v>240000</v>
      </c>
      <c r="H1215" s="106"/>
      <c r="J1215" s="74"/>
      <c r="K1215" s="74"/>
    </row>
    <row r="1216" spans="1:11" ht="15.75">
      <c r="A1216" s="61"/>
      <c r="B1216" s="62"/>
      <c r="C1216" s="29" t="s">
        <v>848</v>
      </c>
      <c r="D1216" s="49" t="s">
        <v>37</v>
      </c>
      <c r="E1216" s="50">
        <v>10</v>
      </c>
      <c r="F1216" s="125">
        <v>40000</v>
      </c>
      <c r="G1216" s="125">
        <f t="shared" si="50"/>
        <v>400000</v>
      </c>
      <c r="H1216" s="106" t="s">
        <v>187</v>
      </c>
      <c r="J1216" s="74"/>
      <c r="K1216" s="74"/>
    </row>
    <row r="1217" spans="1:11" ht="15.75">
      <c r="A1217" s="61"/>
      <c r="B1217" s="62"/>
      <c r="C1217" s="29" t="s">
        <v>847</v>
      </c>
      <c r="D1217" s="49" t="s">
        <v>37</v>
      </c>
      <c r="E1217" s="50">
        <v>34</v>
      </c>
      <c r="F1217" s="125">
        <v>20000</v>
      </c>
      <c r="G1217" s="125">
        <f t="shared" si="50"/>
        <v>680000</v>
      </c>
      <c r="H1217" s="106" t="s">
        <v>187</v>
      </c>
      <c r="J1217" s="74"/>
      <c r="K1217" s="74"/>
    </row>
    <row r="1218" spans="1:11" ht="15.75">
      <c r="A1218" s="61"/>
      <c r="B1218" s="62"/>
      <c r="C1218" s="29" t="s">
        <v>1114</v>
      </c>
      <c r="D1218" s="49" t="s">
        <v>43</v>
      </c>
      <c r="E1218" s="50">
        <v>1</v>
      </c>
      <c r="F1218" s="125">
        <v>200000</v>
      </c>
      <c r="G1218" s="125">
        <f t="shared" si="50"/>
        <v>200000</v>
      </c>
      <c r="H1218" s="106"/>
      <c r="J1218" s="74"/>
      <c r="K1218" s="74"/>
    </row>
    <row r="1219" spans="1:11" ht="15.75">
      <c r="A1219" s="61"/>
      <c r="B1219" s="62"/>
      <c r="C1219" s="29" t="s">
        <v>1115</v>
      </c>
      <c r="D1219" s="49" t="s">
        <v>43</v>
      </c>
      <c r="E1219" s="50">
        <v>1</v>
      </c>
      <c r="F1219" s="125">
        <v>100000</v>
      </c>
      <c r="G1219" s="125">
        <f>F1219*E1219</f>
        <v>100000</v>
      </c>
      <c r="H1219" s="106"/>
      <c r="J1219" s="74"/>
      <c r="K1219" s="74"/>
    </row>
    <row r="1220" spans="1:11" ht="15.75">
      <c r="A1220" s="61"/>
      <c r="B1220" s="62"/>
      <c r="C1220" s="29" t="s">
        <v>1116</v>
      </c>
      <c r="D1220" s="49" t="s">
        <v>43</v>
      </c>
      <c r="E1220" s="50">
        <v>1</v>
      </c>
      <c r="F1220" s="125">
        <v>293000</v>
      </c>
      <c r="G1220" s="125">
        <f t="shared" si="50"/>
        <v>293000</v>
      </c>
      <c r="H1220" s="106"/>
      <c r="J1220" s="74"/>
      <c r="K1220" s="74"/>
    </row>
    <row r="1221" spans="1:11" ht="15.75">
      <c r="A1221" s="61"/>
      <c r="B1221" s="62"/>
      <c r="C1221" s="29" t="s">
        <v>1117</v>
      </c>
      <c r="D1221" s="49" t="s">
        <v>43</v>
      </c>
      <c r="E1221" s="50">
        <v>1</v>
      </c>
      <c r="F1221" s="125">
        <v>200000</v>
      </c>
      <c r="G1221" s="125">
        <f t="shared" si="50"/>
        <v>200000</v>
      </c>
      <c r="H1221" s="106"/>
      <c r="J1221" s="74"/>
      <c r="K1221" s="74"/>
    </row>
    <row r="1222" spans="1:11" ht="18.75">
      <c r="A1222" s="61"/>
      <c r="B1222" s="62"/>
      <c r="C1222" s="29" t="s">
        <v>430</v>
      </c>
      <c r="D1222" s="37" t="s">
        <v>20</v>
      </c>
      <c r="E1222" s="50">
        <v>30</v>
      </c>
      <c r="F1222" s="125">
        <v>12000</v>
      </c>
      <c r="G1222" s="125">
        <f t="shared" si="50"/>
        <v>360000</v>
      </c>
      <c r="H1222" s="106"/>
      <c r="J1222" s="74"/>
      <c r="K1222" s="74"/>
    </row>
    <row r="1223" spans="1:11" ht="15.75">
      <c r="A1223" s="61"/>
      <c r="B1223" s="62"/>
      <c r="C1223" s="29" t="s">
        <v>1118</v>
      </c>
      <c r="D1223" s="49" t="s">
        <v>43</v>
      </c>
      <c r="E1223" s="50">
        <v>5</v>
      </c>
      <c r="F1223" s="125">
        <v>100000</v>
      </c>
      <c r="G1223" s="125">
        <f t="shared" si="50"/>
        <v>500000</v>
      </c>
      <c r="H1223" s="106"/>
      <c r="J1223" s="74"/>
      <c r="K1223" s="74"/>
    </row>
    <row r="1224" spans="1:11" ht="15.75">
      <c r="A1224" s="61"/>
      <c r="B1224" s="62"/>
      <c r="C1224" s="29" t="s">
        <v>1046</v>
      </c>
      <c r="D1224" s="49" t="s">
        <v>43</v>
      </c>
      <c r="E1224" s="50">
        <v>5</v>
      </c>
      <c r="F1224" s="125">
        <v>300000</v>
      </c>
      <c r="G1224" s="125">
        <f t="shared" si="50"/>
        <v>1500000</v>
      </c>
      <c r="H1224" s="106"/>
      <c r="J1224" s="74"/>
      <c r="K1224" s="74"/>
    </row>
    <row r="1225" spans="1:11" ht="15.75">
      <c r="A1225" s="61"/>
      <c r="B1225" s="62"/>
      <c r="C1225" s="29" t="s">
        <v>1075</v>
      </c>
      <c r="D1225" s="49" t="s">
        <v>43</v>
      </c>
      <c r="E1225" s="50">
        <v>1</v>
      </c>
      <c r="F1225" s="125">
        <v>600000</v>
      </c>
      <c r="G1225" s="125">
        <f t="shared" si="50"/>
        <v>600000</v>
      </c>
      <c r="H1225" s="106"/>
      <c r="J1225" s="74"/>
      <c r="K1225" s="74"/>
    </row>
    <row r="1226" spans="1:11" ht="18.75">
      <c r="A1226" s="61"/>
      <c r="B1226" s="62"/>
      <c r="C1226" s="29" t="s">
        <v>1092</v>
      </c>
      <c r="D1226" s="37" t="s">
        <v>20</v>
      </c>
      <c r="E1226" s="50">
        <v>10</v>
      </c>
      <c r="F1226" s="125">
        <v>5200</v>
      </c>
      <c r="G1226" s="125">
        <f t="shared" si="50"/>
        <v>52000</v>
      </c>
      <c r="H1226" s="106"/>
      <c r="J1226" s="74"/>
      <c r="K1226" s="74"/>
    </row>
    <row r="1227" spans="1:11" ht="15.75">
      <c r="A1227" s="61"/>
      <c r="B1227" s="30"/>
      <c r="C1227" s="29" t="s">
        <v>1119</v>
      </c>
      <c r="D1227" s="49" t="s">
        <v>43</v>
      </c>
      <c r="E1227" s="60">
        <v>1</v>
      </c>
      <c r="F1227" s="125">
        <v>200000</v>
      </c>
      <c r="G1227" s="125">
        <f t="shared" si="50"/>
        <v>200000</v>
      </c>
      <c r="H1227" s="106"/>
      <c r="J1227" s="74"/>
      <c r="K1227" s="74"/>
    </row>
    <row r="1228" spans="1:11" ht="15.75">
      <c r="A1228" s="61"/>
      <c r="B1228" s="30"/>
      <c r="C1228" s="29" t="s">
        <v>1120</v>
      </c>
      <c r="D1228" s="49" t="s">
        <v>43</v>
      </c>
      <c r="E1228" s="60">
        <v>2</v>
      </c>
      <c r="F1228" s="125">
        <v>220000</v>
      </c>
      <c r="G1228" s="125">
        <f t="shared" si="50"/>
        <v>440000</v>
      </c>
      <c r="H1228" s="106"/>
      <c r="J1228" s="74"/>
      <c r="K1228" s="74"/>
    </row>
    <row r="1229" spans="1:11" ht="18.75">
      <c r="A1229" s="61"/>
      <c r="B1229" s="30"/>
      <c r="C1229" s="29" t="s">
        <v>1006</v>
      </c>
      <c r="D1229" s="37" t="s">
        <v>20</v>
      </c>
      <c r="E1229" s="60">
        <v>5</v>
      </c>
      <c r="F1229" s="125">
        <v>6000</v>
      </c>
      <c r="G1229" s="125">
        <f t="shared" si="50"/>
        <v>30000</v>
      </c>
      <c r="H1229" s="106"/>
      <c r="J1229" s="74"/>
      <c r="K1229" s="74"/>
    </row>
    <row r="1230" spans="1:11" ht="15.75">
      <c r="A1230" s="61"/>
      <c r="B1230" s="30"/>
      <c r="C1230" s="29" t="s">
        <v>1121</v>
      </c>
      <c r="D1230" s="221" t="s">
        <v>43</v>
      </c>
      <c r="E1230" s="60">
        <v>1</v>
      </c>
      <c r="F1230" s="125">
        <v>200000</v>
      </c>
      <c r="G1230" s="125">
        <f t="shared" si="50"/>
        <v>200000</v>
      </c>
      <c r="H1230" s="106"/>
      <c r="J1230" s="74"/>
      <c r="K1230" s="74"/>
    </row>
    <row r="1231" spans="1:11" ht="18.75">
      <c r="A1231" s="61"/>
      <c r="B1231" s="30"/>
      <c r="C1231" s="29" t="s">
        <v>431</v>
      </c>
      <c r="D1231" s="37" t="s">
        <v>20</v>
      </c>
      <c r="E1231" s="60">
        <v>1</v>
      </c>
      <c r="F1231" s="125">
        <v>50000</v>
      </c>
      <c r="G1231" s="125">
        <f t="shared" si="50"/>
        <v>50000</v>
      </c>
      <c r="H1231" s="106"/>
      <c r="J1231" s="74"/>
      <c r="K1231" s="74"/>
    </row>
    <row r="1232" spans="1:11" ht="15.75">
      <c r="A1232" s="61"/>
      <c r="B1232" s="30"/>
      <c r="C1232" s="29" t="s">
        <v>1122</v>
      </c>
      <c r="D1232" s="221" t="s">
        <v>43</v>
      </c>
      <c r="E1232" s="60">
        <v>1</v>
      </c>
      <c r="F1232" s="125">
        <v>60000</v>
      </c>
      <c r="G1232" s="125">
        <f t="shared" si="50"/>
        <v>60000</v>
      </c>
      <c r="H1232" s="106"/>
      <c r="J1232" s="74"/>
      <c r="K1232" s="74"/>
    </row>
    <row r="1233" spans="1:11" ht="15.75">
      <c r="A1233" s="61"/>
      <c r="B1233" s="30"/>
      <c r="C1233" s="29" t="s">
        <v>861</v>
      </c>
      <c r="D1233" s="221" t="s">
        <v>43</v>
      </c>
      <c r="E1233" s="60">
        <v>1</v>
      </c>
      <c r="F1233" s="125">
        <v>160000</v>
      </c>
      <c r="G1233" s="125">
        <f t="shared" si="50"/>
        <v>160000</v>
      </c>
      <c r="H1233" s="106"/>
      <c r="J1233" s="74"/>
      <c r="K1233" s="74"/>
    </row>
    <row r="1234" spans="1:11" ht="15.75">
      <c r="A1234" s="61"/>
      <c r="B1234" s="30"/>
      <c r="C1234" s="29" t="s">
        <v>871</v>
      </c>
      <c r="D1234" s="221" t="s">
        <v>43</v>
      </c>
      <c r="E1234" s="60">
        <v>1</v>
      </c>
      <c r="F1234" s="125">
        <v>60000</v>
      </c>
      <c r="G1234" s="125">
        <f t="shared" si="50"/>
        <v>60000</v>
      </c>
      <c r="H1234" s="106"/>
      <c r="J1234" s="74"/>
      <c r="K1234" s="74"/>
    </row>
    <row r="1235" spans="1:11" ht="15.75">
      <c r="A1235" s="61"/>
      <c r="B1235" s="30"/>
      <c r="C1235" s="29" t="s">
        <v>998</v>
      </c>
      <c r="D1235" s="221" t="s">
        <v>43</v>
      </c>
      <c r="E1235" s="60">
        <v>1</v>
      </c>
      <c r="F1235" s="125">
        <v>150000</v>
      </c>
      <c r="G1235" s="125">
        <f t="shared" si="50"/>
        <v>150000</v>
      </c>
      <c r="H1235" s="106"/>
      <c r="J1235" s="74"/>
      <c r="K1235" s="74"/>
    </row>
    <row r="1236" spans="1:11" ht="18.75">
      <c r="A1236" s="61"/>
      <c r="B1236" s="30"/>
      <c r="C1236" s="48" t="s">
        <v>432</v>
      </c>
      <c r="D1236" s="37" t="s">
        <v>20</v>
      </c>
      <c r="E1236" s="60">
        <v>36</v>
      </c>
      <c r="F1236" s="130">
        <v>8000</v>
      </c>
      <c r="G1236" s="125">
        <f t="shared" si="50"/>
        <v>288000</v>
      </c>
      <c r="H1236" s="106"/>
      <c r="J1236" s="74"/>
      <c r="K1236" s="74"/>
    </row>
    <row r="1237" spans="1:11" ht="15.75">
      <c r="A1237" s="42"/>
      <c r="B1237" s="43" t="s">
        <v>5</v>
      </c>
      <c r="C1237" s="44"/>
      <c r="D1237" s="45"/>
      <c r="E1237" s="46"/>
      <c r="F1237" s="133"/>
      <c r="G1237" s="156">
        <f>SUM(G1177:G1236)</f>
        <v>25580021330</v>
      </c>
      <c r="H1237" s="261"/>
      <c r="J1237" s="74"/>
      <c r="K1237" s="74"/>
    </row>
    <row r="1238" spans="1:11" ht="31.5">
      <c r="A1238" s="54">
        <v>86</v>
      </c>
      <c r="B1238" s="55" t="s">
        <v>710</v>
      </c>
      <c r="C1238" s="56" t="s">
        <v>709</v>
      </c>
      <c r="D1238" s="37" t="s">
        <v>20</v>
      </c>
      <c r="E1238" s="57">
        <v>79.8</v>
      </c>
      <c r="F1238" s="125"/>
      <c r="G1238" s="125">
        <f>F1238*E1238</f>
        <v>0</v>
      </c>
      <c r="H1238" s="105"/>
      <c r="J1238" s="74"/>
      <c r="K1238" s="74"/>
    </row>
    <row r="1239" spans="1:11" ht="31.5">
      <c r="A1239" s="54"/>
      <c r="B1239" s="30" t="s">
        <v>988</v>
      </c>
      <c r="C1239" s="29" t="s">
        <v>195</v>
      </c>
      <c r="D1239" s="37"/>
      <c r="E1239" s="77"/>
      <c r="F1239" s="125"/>
      <c r="G1239" s="125"/>
      <c r="H1239" s="105"/>
      <c r="J1239" s="74"/>
      <c r="K1239" s="74"/>
    </row>
    <row r="1240" spans="1:11" ht="48.75" customHeight="1">
      <c r="A1240" s="54"/>
      <c r="B1240" s="30" t="s">
        <v>436</v>
      </c>
      <c r="C1240" s="29" t="s">
        <v>953</v>
      </c>
      <c r="D1240" s="37" t="s">
        <v>20</v>
      </c>
      <c r="E1240" s="84">
        <v>79.8</v>
      </c>
      <c r="F1240" s="125">
        <v>1841000</v>
      </c>
      <c r="G1240" s="125">
        <f>F1240*E1240</f>
        <v>146911800</v>
      </c>
      <c r="H1240" s="105"/>
      <c r="J1240" s="74"/>
      <c r="K1240" s="74"/>
    </row>
    <row r="1241" spans="1:9" ht="15.75">
      <c r="A1241" s="42"/>
      <c r="B1241" s="43" t="s">
        <v>5</v>
      </c>
      <c r="C1241" s="44"/>
      <c r="D1241" s="45"/>
      <c r="E1241" s="46"/>
      <c r="F1241" s="133"/>
      <c r="G1241" s="156">
        <f>SUM(G1240)</f>
        <v>146911800</v>
      </c>
      <c r="H1241" s="261"/>
      <c r="I1241" s="111"/>
    </row>
    <row r="1242" spans="1:11" ht="47.25">
      <c r="A1242" s="54">
        <v>87</v>
      </c>
      <c r="B1242" s="55" t="s">
        <v>987</v>
      </c>
      <c r="C1242" s="29" t="s">
        <v>433</v>
      </c>
      <c r="D1242" s="37" t="s">
        <v>20</v>
      </c>
      <c r="E1242" s="84">
        <f>10*4</f>
        <v>40</v>
      </c>
      <c r="F1242" s="125">
        <v>821000</v>
      </c>
      <c r="G1242" s="125">
        <f>F1242*E1242</f>
        <v>32840000</v>
      </c>
      <c r="H1242" s="105" t="s">
        <v>989</v>
      </c>
      <c r="J1242" s="74"/>
      <c r="K1242" s="74"/>
    </row>
    <row r="1243" spans="1:11" ht="45" customHeight="1">
      <c r="A1243" s="54"/>
      <c r="B1243" s="30" t="s">
        <v>988</v>
      </c>
      <c r="C1243" s="30" t="s">
        <v>1173</v>
      </c>
      <c r="D1243" s="37" t="s">
        <v>20</v>
      </c>
      <c r="E1243" s="60">
        <f>5.1*4</f>
        <v>20.4</v>
      </c>
      <c r="F1243" s="130">
        <f>498000*40%</f>
        <v>199200</v>
      </c>
      <c r="G1243" s="125">
        <f>F1243*E1243</f>
        <v>4063679.9999999995</v>
      </c>
      <c r="H1243" s="106" t="s">
        <v>902</v>
      </c>
      <c r="J1243" s="74"/>
      <c r="K1243" s="74"/>
    </row>
    <row r="1244" spans="1:11" ht="48.75" customHeight="1">
      <c r="A1244" s="54"/>
      <c r="B1244" s="62" t="s">
        <v>435</v>
      </c>
      <c r="C1244" s="48" t="s">
        <v>434</v>
      </c>
      <c r="D1244" s="37" t="s">
        <v>20</v>
      </c>
      <c r="E1244" s="50">
        <f>4.3*4</f>
        <v>17.2</v>
      </c>
      <c r="F1244" s="125">
        <v>821000</v>
      </c>
      <c r="G1244" s="125">
        <f>F1244*E1244</f>
        <v>14121200</v>
      </c>
      <c r="H1244" s="217"/>
      <c r="J1244" s="74"/>
      <c r="K1244" s="74"/>
    </row>
    <row r="1245" spans="1:9" ht="15.75">
      <c r="A1245" s="42"/>
      <c r="B1245" s="43" t="s">
        <v>5</v>
      </c>
      <c r="C1245" s="44"/>
      <c r="D1245" s="45"/>
      <c r="E1245" s="46"/>
      <c r="F1245" s="133"/>
      <c r="G1245" s="156">
        <f>SUM(G1242:G1244)</f>
        <v>51024880</v>
      </c>
      <c r="H1245" s="261"/>
      <c r="I1245" s="111"/>
    </row>
    <row r="1246" spans="1:9" ht="31.5">
      <c r="A1246" s="54">
        <v>88</v>
      </c>
      <c r="B1246" s="55" t="s">
        <v>437</v>
      </c>
      <c r="C1246" s="56" t="s">
        <v>711</v>
      </c>
      <c r="D1246" s="37" t="s">
        <v>20</v>
      </c>
      <c r="E1246" s="57">
        <v>431.6</v>
      </c>
      <c r="F1246" s="125"/>
      <c r="G1246" s="125"/>
      <c r="H1246" s="105"/>
      <c r="I1246" s="111"/>
    </row>
    <row r="1247" spans="1:9" ht="21.75" customHeight="1">
      <c r="A1247" s="54"/>
      <c r="B1247" s="55" t="s">
        <v>438</v>
      </c>
      <c r="C1247" s="29" t="s">
        <v>195</v>
      </c>
      <c r="D1247" s="37"/>
      <c r="E1247" s="84"/>
      <c r="F1247" s="125"/>
      <c r="G1247" s="125"/>
      <c r="H1247" s="105"/>
      <c r="I1247" s="111"/>
    </row>
    <row r="1248" spans="1:9" ht="103.5" customHeight="1">
      <c r="A1248" s="61"/>
      <c r="B1248" s="30" t="s">
        <v>525</v>
      </c>
      <c r="C1248" s="29" t="s">
        <v>799</v>
      </c>
      <c r="D1248" s="37" t="s">
        <v>20</v>
      </c>
      <c r="E1248" s="60">
        <v>330</v>
      </c>
      <c r="F1248" s="130">
        <v>5102000</v>
      </c>
      <c r="G1248" s="125">
        <f>F1248*E1248</f>
        <v>1683660000</v>
      </c>
      <c r="H1248" s="106"/>
      <c r="I1248" s="111"/>
    </row>
    <row r="1249" spans="1:9" ht="125.25" customHeight="1">
      <c r="A1249" s="61"/>
      <c r="B1249" s="30"/>
      <c r="C1249" s="48" t="s">
        <v>944</v>
      </c>
      <c r="D1249" s="221"/>
      <c r="E1249" s="50">
        <v>101.6</v>
      </c>
      <c r="F1249" s="125">
        <v>2551000</v>
      </c>
      <c r="G1249" s="125">
        <f>F1249*E1249</f>
        <v>259181600</v>
      </c>
      <c r="H1249" s="106"/>
      <c r="I1249" s="111"/>
    </row>
    <row r="1250" spans="1:9" ht="31.5">
      <c r="A1250" s="61"/>
      <c r="B1250" s="62"/>
      <c r="C1250" s="29" t="s">
        <v>712</v>
      </c>
      <c r="D1250" s="37" t="s">
        <v>20</v>
      </c>
      <c r="E1250" s="50">
        <v>75.7</v>
      </c>
      <c r="F1250" s="125"/>
      <c r="G1250" s="125"/>
      <c r="H1250" s="106"/>
      <c r="I1250" s="111"/>
    </row>
    <row r="1251" spans="1:9" ht="21" customHeight="1">
      <c r="A1251" s="61"/>
      <c r="B1251" s="62"/>
      <c r="C1251" s="29" t="s">
        <v>195</v>
      </c>
      <c r="D1251" s="37"/>
      <c r="E1251" s="50"/>
      <c r="F1251" s="125"/>
      <c r="G1251" s="125"/>
      <c r="H1251" s="106"/>
      <c r="I1251" s="111"/>
    </row>
    <row r="1252" spans="1:9" ht="135.75" customHeight="1">
      <c r="A1252" s="61"/>
      <c r="B1252" s="62"/>
      <c r="C1252" s="48" t="s">
        <v>947</v>
      </c>
      <c r="D1252" s="37" t="s">
        <v>20</v>
      </c>
      <c r="E1252" s="50">
        <v>75.7</v>
      </c>
      <c r="F1252" s="125">
        <v>2551000</v>
      </c>
      <c r="G1252" s="125">
        <f>F1252*E1252</f>
        <v>193110700</v>
      </c>
      <c r="H1252" s="106"/>
      <c r="I1252" s="111"/>
    </row>
    <row r="1253" spans="1:9" ht="15.75">
      <c r="A1253" s="61"/>
      <c r="B1253" s="30"/>
      <c r="C1253" s="29" t="s">
        <v>1123</v>
      </c>
      <c r="D1253" s="49" t="s">
        <v>43</v>
      </c>
      <c r="E1253" s="84">
        <v>70</v>
      </c>
      <c r="F1253" s="125">
        <v>200000</v>
      </c>
      <c r="G1253" s="125">
        <f>F1253*E1253</f>
        <v>14000000</v>
      </c>
      <c r="H1253" s="106"/>
      <c r="I1253" s="111"/>
    </row>
    <row r="1254" spans="1:9" ht="15.75">
      <c r="A1254" s="42"/>
      <c r="B1254" s="43" t="s">
        <v>5</v>
      </c>
      <c r="C1254" s="44"/>
      <c r="D1254" s="45"/>
      <c r="E1254" s="46"/>
      <c r="F1254" s="133"/>
      <c r="G1254" s="156">
        <f>SUM(G1246:G1253)</f>
        <v>2149952300</v>
      </c>
      <c r="H1254" s="261"/>
      <c r="I1254" s="111"/>
    </row>
    <row r="1255" spans="1:9" ht="31.5">
      <c r="A1255" s="54">
        <v>89</v>
      </c>
      <c r="B1255" s="55" t="s">
        <v>715</v>
      </c>
      <c r="C1255" s="56" t="s">
        <v>1174</v>
      </c>
      <c r="D1255" s="37" t="s">
        <v>20</v>
      </c>
      <c r="E1255" s="57">
        <v>49.4</v>
      </c>
      <c r="F1255" s="134"/>
      <c r="G1255" s="134">
        <f aca="true" t="shared" si="51" ref="G1255:G1262">F1255*E1255</f>
        <v>0</v>
      </c>
      <c r="H1255" s="259"/>
      <c r="I1255" s="111"/>
    </row>
    <row r="1256" spans="1:9" ht="15.75">
      <c r="A1256" s="54"/>
      <c r="B1256" s="62" t="s">
        <v>17</v>
      </c>
      <c r="C1256" s="29" t="s">
        <v>195</v>
      </c>
      <c r="D1256" s="37"/>
      <c r="E1256" s="84"/>
      <c r="F1256" s="125"/>
      <c r="G1256" s="125"/>
      <c r="H1256" s="105"/>
      <c r="I1256" s="111"/>
    </row>
    <row r="1257" spans="1:9" ht="72.75" customHeight="1">
      <c r="A1257" s="54"/>
      <c r="B1257" s="30" t="s">
        <v>558</v>
      </c>
      <c r="C1257" s="29" t="s">
        <v>821</v>
      </c>
      <c r="D1257" s="37" t="s">
        <v>20</v>
      </c>
      <c r="E1257" s="84">
        <v>49.4</v>
      </c>
      <c r="F1257" s="125">
        <v>31014000</v>
      </c>
      <c r="G1257" s="125">
        <f>F1257*E1257</f>
        <v>1532091600</v>
      </c>
      <c r="H1257" s="105"/>
      <c r="I1257" s="111"/>
    </row>
    <row r="1258" spans="1:8" ht="177" customHeight="1">
      <c r="A1258" s="54"/>
      <c r="B1258" s="62" t="s">
        <v>445</v>
      </c>
      <c r="C1258" s="29" t="s">
        <v>1175</v>
      </c>
      <c r="D1258" s="37" t="s">
        <v>20</v>
      </c>
      <c r="E1258" s="84">
        <f>23.6*4.19</f>
        <v>98.88400000000001</v>
      </c>
      <c r="F1258" s="125">
        <f>3230000*40%</f>
        <v>1292000</v>
      </c>
      <c r="G1258" s="130">
        <f t="shared" si="51"/>
        <v>127758128.00000001</v>
      </c>
      <c r="H1258" s="274" t="s">
        <v>900</v>
      </c>
    </row>
    <row r="1259" spans="1:9" ht="15.75">
      <c r="A1259" s="54"/>
      <c r="B1259" s="62"/>
      <c r="C1259" s="69" t="s">
        <v>443</v>
      </c>
      <c r="D1259" s="37"/>
      <c r="E1259" s="60"/>
      <c r="F1259" s="247"/>
      <c r="G1259" s="130">
        <f t="shared" si="51"/>
        <v>0</v>
      </c>
      <c r="H1259" s="105"/>
      <c r="I1259" s="111"/>
    </row>
    <row r="1260" spans="1:9" ht="103.5" customHeight="1">
      <c r="A1260" s="54"/>
      <c r="B1260" s="30"/>
      <c r="C1260" s="29" t="s">
        <v>444</v>
      </c>
      <c r="D1260" s="37" t="s">
        <v>20</v>
      </c>
      <c r="E1260" s="84">
        <f>4.19*3</f>
        <v>12.57</v>
      </c>
      <c r="F1260" s="125">
        <f>150000*40%</f>
        <v>60000</v>
      </c>
      <c r="G1260" s="130">
        <f t="shared" si="51"/>
        <v>754200</v>
      </c>
      <c r="H1260" s="105" t="s">
        <v>1148</v>
      </c>
      <c r="I1260" s="111"/>
    </row>
    <row r="1261" spans="1:9" ht="31.5">
      <c r="A1261" s="54"/>
      <c r="B1261" s="62"/>
      <c r="C1261" s="29" t="s">
        <v>446</v>
      </c>
      <c r="D1261" s="37" t="s">
        <v>20</v>
      </c>
      <c r="E1261" s="50">
        <f>4.19*2</f>
        <v>8.38</v>
      </c>
      <c r="F1261" s="125">
        <f>498000*40%</f>
        <v>199200</v>
      </c>
      <c r="G1261" s="130">
        <f t="shared" si="51"/>
        <v>1669296.0000000002</v>
      </c>
      <c r="H1261" s="105" t="s">
        <v>1147</v>
      </c>
      <c r="I1261" s="111"/>
    </row>
    <row r="1262" spans="1:9" ht="45">
      <c r="A1262" s="54"/>
      <c r="B1262" s="30"/>
      <c r="C1262" s="48" t="s">
        <v>447</v>
      </c>
      <c r="D1262" s="37" t="s">
        <v>20</v>
      </c>
      <c r="E1262" s="50">
        <f>5*2.7</f>
        <v>13.5</v>
      </c>
      <c r="F1262" s="125">
        <f>85000*40%</f>
        <v>34000</v>
      </c>
      <c r="G1262" s="155">
        <f t="shared" si="51"/>
        <v>459000</v>
      </c>
      <c r="H1262" s="106" t="s">
        <v>1152</v>
      </c>
      <c r="I1262" s="111"/>
    </row>
    <row r="1263" spans="1:9" s="149" customFormat="1" ht="15.75">
      <c r="A1263" s="145"/>
      <c r="B1263" s="43" t="s">
        <v>5</v>
      </c>
      <c r="C1263" s="146"/>
      <c r="D1263" s="147"/>
      <c r="E1263" s="209"/>
      <c r="F1263" s="148"/>
      <c r="G1263" s="156">
        <f>SUM(G1255:G1262)</f>
        <v>1662732224</v>
      </c>
      <c r="H1263" s="260"/>
      <c r="I1263" s="119"/>
    </row>
    <row r="1264" spans="1:9" ht="31.5">
      <c r="A1264" s="54">
        <v>90</v>
      </c>
      <c r="B1264" s="55" t="s">
        <v>716</v>
      </c>
      <c r="C1264" s="56" t="s">
        <v>717</v>
      </c>
      <c r="D1264" s="37" t="s">
        <v>20</v>
      </c>
      <c r="E1264" s="57">
        <v>65.9</v>
      </c>
      <c r="F1264" s="125"/>
      <c r="G1264" s="125">
        <f>F1264*E1264</f>
        <v>0</v>
      </c>
      <c r="H1264" s="105" t="s">
        <v>448</v>
      </c>
      <c r="I1264" s="111"/>
    </row>
    <row r="1265" spans="1:9" ht="63" customHeight="1">
      <c r="A1265" s="61"/>
      <c r="B1265" s="30" t="s">
        <v>891</v>
      </c>
      <c r="C1265" s="29" t="s">
        <v>195</v>
      </c>
      <c r="D1265" s="37"/>
      <c r="E1265" s="60"/>
      <c r="F1265" s="130"/>
      <c r="G1265" s="125"/>
      <c r="H1265" s="106"/>
      <c r="I1265" s="111"/>
    </row>
    <row r="1266" spans="1:9" ht="18.75">
      <c r="A1266" s="61"/>
      <c r="B1266" s="62" t="s">
        <v>449</v>
      </c>
      <c r="C1266" s="29" t="s">
        <v>819</v>
      </c>
      <c r="D1266" s="37" t="s">
        <v>20</v>
      </c>
      <c r="E1266" s="50">
        <v>13.4</v>
      </c>
      <c r="F1266" s="125"/>
      <c r="G1266" s="125"/>
      <c r="H1266" s="106"/>
      <c r="I1266" s="111"/>
    </row>
    <row r="1267" spans="1:9" ht="78.75">
      <c r="A1267" s="61"/>
      <c r="B1267" s="30"/>
      <c r="C1267" s="29" t="s">
        <v>896</v>
      </c>
      <c r="D1267" s="37" t="s">
        <v>20</v>
      </c>
      <c r="E1267" s="50">
        <v>52.50000000000001</v>
      </c>
      <c r="F1267" s="125">
        <v>6791600</v>
      </c>
      <c r="G1267" s="125">
        <f>F1267*E1267</f>
        <v>356559000.00000006</v>
      </c>
      <c r="H1267" s="106"/>
      <c r="I1267" s="111"/>
    </row>
    <row r="1268" spans="1:9" ht="15.75">
      <c r="A1268" s="42"/>
      <c r="B1268" s="43" t="s">
        <v>5</v>
      </c>
      <c r="C1268" s="44"/>
      <c r="D1268" s="45"/>
      <c r="E1268" s="46"/>
      <c r="F1268" s="133"/>
      <c r="G1268" s="156">
        <f>SUM(G1264:G1267)</f>
        <v>356559000.00000006</v>
      </c>
      <c r="H1268" s="261"/>
      <c r="I1268" s="111"/>
    </row>
    <row r="1269" spans="1:9" ht="31.5">
      <c r="A1269" s="54">
        <v>91</v>
      </c>
      <c r="B1269" s="55" t="s">
        <v>450</v>
      </c>
      <c r="C1269" s="56" t="s">
        <v>990</v>
      </c>
      <c r="D1269" s="37" t="s">
        <v>20</v>
      </c>
      <c r="E1269" s="57">
        <v>55.8</v>
      </c>
      <c r="F1269" s="125"/>
      <c r="G1269" s="125">
        <f>F1269*E1269</f>
        <v>0</v>
      </c>
      <c r="H1269" s="105"/>
      <c r="I1269" s="111"/>
    </row>
    <row r="1270" spans="1:9" ht="47.25">
      <c r="A1270" s="54"/>
      <c r="B1270" s="30" t="s">
        <v>559</v>
      </c>
      <c r="C1270" s="29" t="s">
        <v>195</v>
      </c>
      <c r="D1270" s="37"/>
      <c r="E1270" s="84"/>
      <c r="F1270" s="125"/>
      <c r="G1270" s="125"/>
      <c r="H1270" s="105"/>
      <c r="I1270" s="111"/>
    </row>
    <row r="1271" spans="1:9" ht="105" customHeight="1">
      <c r="A1271" s="54"/>
      <c r="B1271" s="62" t="s">
        <v>453</v>
      </c>
      <c r="C1271" s="29" t="s">
        <v>991</v>
      </c>
      <c r="D1271" s="37" t="s">
        <v>20</v>
      </c>
      <c r="E1271" s="84">
        <v>55.8</v>
      </c>
      <c r="F1271" s="125">
        <v>22164000</v>
      </c>
      <c r="G1271" s="125">
        <f>F1271*E1271</f>
        <v>1236751200</v>
      </c>
      <c r="H1271" s="105"/>
      <c r="I1271" s="111"/>
    </row>
    <row r="1272" spans="1:8" ht="47.25">
      <c r="A1272" s="61"/>
      <c r="B1272" s="62"/>
      <c r="C1272" s="30" t="s">
        <v>451</v>
      </c>
      <c r="D1272" s="37" t="s">
        <v>20</v>
      </c>
      <c r="E1272" s="60">
        <f>22.1*5.2</f>
        <v>114.92000000000002</v>
      </c>
      <c r="F1272" s="130">
        <v>821000</v>
      </c>
      <c r="G1272" s="125">
        <f>F1272*E1272</f>
        <v>94349320.00000001</v>
      </c>
      <c r="H1272" s="106"/>
    </row>
    <row r="1273" spans="1:9" ht="31.5">
      <c r="A1273" s="61"/>
      <c r="B1273" s="217"/>
      <c r="C1273" s="48" t="s">
        <v>452</v>
      </c>
      <c r="D1273" s="37" t="s">
        <v>20</v>
      </c>
      <c r="E1273" s="50">
        <f>3.1*1.6</f>
        <v>4.960000000000001</v>
      </c>
      <c r="F1273" s="125">
        <f>2450000</f>
        <v>2450000</v>
      </c>
      <c r="G1273" s="125">
        <f>F1273*E1273</f>
        <v>12152000.000000002</v>
      </c>
      <c r="H1273" s="106"/>
      <c r="I1273" s="111"/>
    </row>
    <row r="1274" spans="1:9" ht="20.25" customHeight="1">
      <c r="A1274" s="61"/>
      <c r="B1274" s="47"/>
      <c r="C1274" s="29" t="s">
        <v>36</v>
      </c>
      <c r="D1274" s="37" t="s">
        <v>20</v>
      </c>
      <c r="E1274" s="50">
        <f>3.6*3.26</f>
        <v>11.735999999999999</v>
      </c>
      <c r="F1274" s="125">
        <v>125000</v>
      </c>
      <c r="G1274" s="125">
        <f>F1274*E1274</f>
        <v>1466999.9999999998</v>
      </c>
      <c r="H1274" s="106"/>
      <c r="I1274" s="111"/>
    </row>
    <row r="1275" spans="1:9" ht="31.5">
      <c r="A1275" s="61"/>
      <c r="B1275" s="30"/>
      <c r="C1275" s="29" t="s">
        <v>47</v>
      </c>
      <c r="D1275" s="37" t="s">
        <v>20</v>
      </c>
      <c r="E1275" s="60">
        <f>3.3*5.2</f>
        <v>17.16</v>
      </c>
      <c r="F1275" s="125">
        <v>498000</v>
      </c>
      <c r="G1275" s="125">
        <f>F1275*E1275</f>
        <v>8545680</v>
      </c>
      <c r="H1275" s="106"/>
      <c r="I1275" s="111"/>
    </row>
    <row r="1276" spans="1:9" ht="15.75">
      <c r="A1276" s="42"/>
      <c r="B1276" s="43" t="s">
        <v>5</v>
      </c>
      <c r="C1276" s="44"/>
      <c r="D1276" s="45"/>
      <c r="E1276" s="46"/>
      <c r="F1276" s="133"/>
      <c r="G1276" s="156">
        <f>SUM(G1269:G1275)</f>
        <v>1353265200</v>
      </c>
      <c r="H1276" s="261"/>
      <c r="I1276" s="111"/>
    </row>
    <row r="1277" spans="1:9" ht="31.5">
      <c r="A1277" s="54">
        <v>92</v>
      </c>
      <c r="B1277" s="55" t="s">
        <v>718</v>
      </c>
      <c r="C1277" s="56" t="s">
        <v>719</v>
      </c>
      <c r="D1277" s="37" t="s">
        <v>20</v>
      </c>
      <c r="E1277" s="57">
        <v>194.7</v>
      </c>
      <c r="F1277" s="125"/>
      <c r="G1277" s="125">
        <f>F1277*E1277</f>
        <v>0</v>
      </c>
      <c r="H1277" s="105"/>
      <c r="I1277" s="111"/>
    </row>
    <row r="1278" spans="1:9" ht="15.75">
      <c r="A1278" s="54"/>
      <c r="B1278" s="62" t="s">
        <v>17</v>
      </c>
      <c r="C1278" s="29" t="s">
        <v>195</v>
      </c>
      <c r="D1278" s="37"/>
      <c r="E1278" s="84"/>
      <c r="F1278" s="125"/>
      <c r="G1278" s="125"/>
      <c r="H1278" s="105"/>
      <c r="I1278" s="111"/>
    </row>
    <row r="1279" spans="1:9" ht="94.5">
      <c r="A1279" s="54"/>
      <c r="B1279" s="30" t="s">
        <v>992</v>
      </c>
      <c r="C1279" s="29" t="s">
        <v>799</v>
      </c>
      <c r="D1279" s="37" t="s">
        <v>20</v>
      </c>
      <c r="E1279" s="84">
        <v>100</v>
      </c>
      <c r="F1279" s="125">
        <v>5102000</v>
      </c>
      <c r="G1279" s="125">
        <f>F1279*E1279</f>
        <v>510200000</v>
      </c>
      <c r="H1279" s="105"/>
      <c r="I1279" s="111"/>
    </row>
    <row r="1280" spans="1:9" ht="110.25">
      <c r="A1280" s="54"/>
      <c r="B1280" s="62" t="s">
        <v>455</v>
      </c>
      <c r="C1280" s="48" t="s">
        <v>944</v>
      </c>
      <c r="D1280" s="37" t="s">
        <v>20</v>
      </c>
      <c r="E1280" s="84">
        <v>94.69999999999999</v>
      </c>
      <c r="F1280" s="125">
        <v>2551000</v>
      </c>
      <c r="G1280" s="125">
        <f>F1280*E1280</f>
        <v>241579699.99999997</v>
      </c>
      <c r="H1280" s="105"/>
      <c r="I1280" s="111"/>
    </row>
    <row r="1281" spans="1:9" ht="18.75">
      <c r="A1281" s="61"/>
      <c r="B1281" s="62"/>
      <c r="C1281" s="30" t="s">
        <v>454</v>
      </c>
      <c r="D1281" s="37" t="s">
        <v>20</v>
      </c>
      <c r="E1281" s="60">
        <f>5*1.6</f>
        <v>8</v>
      </c>
      <c r="F1281" s="125">
        <v>110000</v>
      </c>
      <c r="G1281" s="125">
        <f aca="true" t="shared" si="52" ref="G1281:G1287">F1281*E1281</f>
        <v>880000</v>
      </c>
      <c r="H1281" s="106"/>
      <c r="I1281" s="111"/>
    </row>
    <row r="1282" spans="1:9" ht="20.25" customHeight="1">
      <c r="A1282" s="61"/>
      <c r="B1282" s="30"/>
      <c r="C1282" s="48" t="s">
        <v>1000</v>
      </c>
      <c r="D1282" s="49" t="s">
        <v>43</v>
      </c>
      <c r="E1282" s="50">
        <v>1</v>
      </c>
      <c r="F1282" s="125">
        <v>600000</v>
      </c>
      <c r="G1282" s="125">
        <f t="shared" si="52"/>
        <v>600000</v>
      </c>
      <c r="H1282" s="106"/>
      <c r="I1282" s="111"/>
    </row>
    <row r="1283" spans="1:9" ht="15.75">
      <c r="A1283" s="61"/>
      <c r="B1283" s="62"/>
      <c r="C1283" s="29" t="s">
        <v>429</v>
      </c>
      <c r="D1283" s="49" t="s">
        <v>145</v>
      </c>
      <c r="E1283" s="50">
        <v>2</v>
      </c>
      <c r="F1283" s="125">
        <v>160000</v>
      </c>
      <c r="G1283" s="125">
        <f t="shared" si="52"/>
        <v>320000</v>
      </c>
      <c r="H1283" s="106"/>
      <c r="I1283" s="111"/>
    </row>
    <row r="1284" spans="1:9" ht="15.75">
      <c r="A1284" s="61"/>
      <c r="B1284" s="62"/>
      <c r="C1284" s="29" t="s">
        <v>1090</v>
      </c>
      <c r="D1284" s="49" t="s">
        <v>43</v>
      </c>
      <c r="E1284" s="50">
        <v>2</v>
      </c>
      <c r="F1284" s="125">
        <v>400000</v>
      </c>
      <c r="G1284" s="125">
        <f t="shared" si="52"/>
        <v>800000</v>
      </c>
      <c r="H1284" s="106"/>
      <c r="I1284" s="111"/>
    </row>
    <row r="1285" spans="1:9" ht="15.75">
      <c r="A1285" s="61"/>
      <c r="B1285" s="62"/>
      <c r="C1285" s="29" t="s">
        <v>1029</v>
      </c>
      <c r="D1285" s="49" t="s">
        <v>43</v>
      </c>
      <c r="E1285" s="50">
        <v>1</v>
      </c>
      <c r="F1285" s="125">
        <v>300000</v>
      </c>
      <c r="G1285" s="125">
        <f t="shared" si="52"/>
        <v>300000</v>
      </c>
      <c r="H1285" s="106"/>
      <c r="I1285" s="111"/>
    </row>
    <row r="1286" spans="1:9" ht="18.75">
      <c r="A1286" s="61"/>
      <c r="B1286" s="62"/>
      <c r="C1286" s="29" t="s">
        <v>177</v>
      </c>
      <c r="D1286" s="37" t="s">
        <v>20</v>
      </c>
      <c r="E1286" s="50">
        <v>2</v>
      </c>
      <c r="F1286" s="125">
        <v>6000</v>
      </c>
      <c r="G1286" s="125">
        <f t="shared" si="52"/>
        <v>12000</v>
      </c>
      <c r="H1286" s="106"/>
      <c r="I1286" s="111"/>
    </row>
    <row r="1287" spans="1:9" ht="15.75">
      <c r="A1287" s="61"/>
      <c r="B1287" s="62"/>
      <c r="C1287" s="29" t="s">
        <v>999</v>
      </c>
      <c r="D1287" s="49" t="s">
        <v>43</v>
      </c>
      <c r="E1287" s="50">
        <v>1</v>
      </c>
      <c r="F1287" s="125">
        <v>180000</v>
      </c>
      <c r="G1287" s="125">
        <f t="shared" si="52"/>
        <v>180000</v>
      </c>
      <c r="H1287" s="106"/>
      <c r="I1287" s="111"/>
    </row>
    <row r="1288" spans="1:9" ht="15.75">
      <c r="A1288" s="42"/>
      <c r="B1288" s="43" t="s">
        <v>5</v>
      </c>
      <c r="C1288" s="44"/>
      <c r="D1288" s="45"/>
      <c r="E1288" s="46"/>
      <c r="F1288" s="133"/>
      <c r="G1288" s="156">
        <f>SUM(G1277:G1287)</f>
        <v>754871700</v>
      </c>
      <c r="H1288" s="261"/>
      <c r="I1288" s="111"/>
    </row>
    <row r="1289" spans="1:9" ht="31.5">
      <c r="A1289" s="54">
        <v>93</v>
      </c>
      <c r="B1289" s="55" t="s">
        <v>456</v>
      </c>
      <c r="C1289" s="56" t="s">
        <v>720</v>
      </c>
      <c r="D1289" s="37" t="s">
        <v>20</v>
      </c>
      <c r="E1289" s="57">
        <v>42.2</v>
      </c>
      <c r="F1289" s="125"/>
      <c r="G1289" s="125">
        <f>F1289*E1289</f>
        <v>0</v>
      </c>
      <c r="H1289" s="105"/>
      <c r="I1289" s="111"/>
    </row>
    <row r="1290" spans="1:9" ht="15.75">
      <c r="A1290" s="54"/>
      <c r="B1290" s="62" t="s">
        <v>457</v>
      </c>
      <c r="C1290" s="29" t="s">
        <v>195</v>
      </c>
      <c r="D1290" s="37"/>
      <c r="E1290" s="84"/>
      <c r="F1290" s="125"/>
      <c r="G1290" s="125"/>
      <c r="H1290" s="105"/>
      <c r="I1290" s="111"/>
    </row>
    <row r="1291" spans="1:9" ht="117.75" customHeight="1">
      <c r="A1291" s="54"/>
      <c r="B1291" s="30" t="s">
        <v>993</v>
      </c>
      <c r="C1291" s="29" t="s">
        <v>937</v>
      </c>
      <c r="D1291" s="37" t="s">
        <v>20</v>
      </c>
      <c r="E1291" s="84">
        <v>42.2</v>
      </c>
      <c r="F1291" s="125">
        <v>4420000</v>
      </c>
      <c r="G1291" s="125">
        <f>F1291*E1291</f>
        <v>186524000</v>
      </c>
      <c r="H1291" s="105"/>
      <c r="I1291" s="111"/>
    </row>
    <row r="1292" spans="1:9" ht="81.75" customHeight="1">
      <c r="A1292" s="61"/>
      <c r="B1292" s="62"/>
      <c r="C1292" s="30" t="s">
        <v>458</v>
      </c>
      <c r="D1292" s="37" t="s">
        <v>20</v>
      </c>
      <c r="E1292" s="60">
        <f>4.7*15.05</f>
        <v>70.735</v>
      </c>
      <c r="F1292" s="130">
        <f>3230000-(8%*3230000)-(5%*3230000)</f>
        <v>2810100</v>
      </c>
      <c r="G1292" s="125">
        <f aca="true" t="shared" si="53" ref="G1292:G1307">F1292*E1292</f>
        <v>198772423.5</v>
      </c>
      <c r="H1292" s="106" t="s">
        <v>577</v>
      </c>
      <c r="I1292" s="111"/>
    </row>
    <row r="1293" spans="1:9" ht="66" customHeight="1">
      <c r="A1293" s="61"/>
      <c r="B1293" s="30"/>
      <c r="C1293" s="29" t="s">
        <v>1176</v>
      </c>
      <c r="D1293" s="37" t="s">
        <v>20</v>
      </c>
      <c r="E1293" s="50">
        <f>2.9*4.7</f>
        <v>13.63</v>
      </c>
      <c r="F1293" s="125">
        <v>821000</v>
      </c>
      <c r="G1293" s="125">
        <f t="shared" si="53"/>
        <v>11190230</v>
      </c>
      <c r="H1293" s="106"/>
      <c r="I1293" s="112"/>
    </row>
    <row r="1294" spans="1:9" ht="18.75">
      <c r="A1294" s="61"/>
      <c r="B1294" s="62"/>
      <c r="C1294" s="29" t="s">
        <v>28</v>
      </c>
      <c r="D1294" s="37" t="s">
        <v>20</v>
      </c>
      <c r="E1294" s="50">
        <f>2.1*2.2</f>
        <v>4.620000000000001</v>
      </c>
      <c r="F1294" s="125">
        <v>85000</v>
      </c>
      <c r="G1294" s="125">
        <f t="shared" si="53"/>
        <v>392700.00000000006</v>
      </c>
      <c r="H1294" s="106" t="s">
        <v>187</v>
      </c>
      <c r="I1294" s="111"/>
    </row>
    <row r="1295" spans="1:9" ht="18.75">
      <c r="A1295" s="61"/>
      <c r="B1295" s="62"/>
      <c r="C1295" s="29" t="s">
        <v>25</v>
      </c>
      <c r="D1295" s="37" t="s">
        <v>32</v>
      </c>
      <c r="E1295" s="50">
        <f>2.3*2*0.1</f>
        <v>0.45999999999999996</v>
      </c>
      <c r="F1295" s="125">
        <v>1250000</v>
      </c>
      <c r="G1295" s="125">
        <f t="shared" si="53"/>
        <v>575000</v>
      </c>
      <c r="H1295" s="106"/>
      <c r="I1295" s="111"/>
    </row>
    <row r="1296" spans="1:9" ht="18.75">
      <c r="A1296" s="61"/>
      <c r="B1296" s="62"/>
      <c r="C1296" s="29" t="s">
        <v>26</v>
      </c>
      <c r="D1296" s="37" t="s">
        <v>20</v>
      </c>
      <c r="E1296" s="50">
        <f>(2.3*2)+((0.3*2.5)*8)</f>
        <v>10.6</v>
      </c>
      <c r="F1296" s="125">
        <v>82000</v>
      </c>
      <c r="G1296" s="125">
        <f t="shared" si="53"/>
        <v>869200</v>
      </c>
      <c r="H1296" s="106"/>
      <c r="I1296" s="111"/>
    </row>
    <row r="1297" spans="1:9" ht="31.5">
      <c r="A1297" s="61"/>
      <c r="B1297" s="62"/>
      <c r="C1297" s="29" t="s">
        <v>47</v>
      </c>
      <c r="D1297" s="37" t="s">
        <v>20</v>
      </c>
      <c r="E1297" s="50">
        <f>2.6*5</f>
        <v>13</v>
      </c>
      <c r="F1297" s="125">
        <v>498000</v>
      </c>
      <c r="G1297" s="125">
        <f t="shared" si="53"/>
        <v>6474000</v>
      </c>
      <c r="H1297" s="106"/>
      <c r="I1297" s="111"/>
    </row>
    <row r="1298" spans="1:9" ht="18.75">
      <c r="A1298" s="61"/>
      <c r="B1298" s="62"/>
      <c r="C1298" s="29" t="s">
        <v>120</v>
      </c>
      <c r="D1298" s="37" t="s">
        <v>20</v>
      </c>
      <c r="E1298" s="50">
        <f>7.4*2.3</f>
        <v>17.02</v>
      </c>
      <c r="F1298" s="125">
        <v>325000</v>
      </c>
      <c r="G1298" s="125">
        <f t="shared" si="53"/>
        <v>5531500</v>
      </c>
      <c r="H1298" s="106"/>
      <c r="I1298" s="111"/>
    </row>
    <row r="1299" spans="1:9" ht="34.5" customHeight="1">
      <c r="A1299" s="61"/>
      <c r="B1299" s="62"/>
      <c r="C1299" s="29" t="s">
        <v>586</v>
      </c>
      <c r="D1299" s="37" t="s">
        <v>20</v>
      </c>
      <c r="E1299" s="50">
        <f>(2.6*2.3)+(2.37*2.3)</f>
        <v>11.431</v>
      </c>
      <c r="F1299" s="125">
        <v>325000</v>
      </c>
      <c r="G1299" s="125">
        <f t="shared" si="53"/>
        <v>3715074.9999999995</v>
      </c>
      <c r="H1299" s="106"/>
      <c r="I1299" s="111"/>
    </row>
    <row r="1300" spans="1:9" ht="18.75">
      <c r="A1300" s="61"/>
      <c r="B1300" s="62"/>
      <c r="C1300" s="29" t="s">
        <v>27</v>
      </c>
      <c r="D1300" s="37" t="s">
        <v>32</v>
      </c>
      <c r="E1300" s="50">
        <f>((0.3*0.3*2.5)*4)</f>
        <v>0.8999999999999999</v>
      </c>
      <c r="F1300" s="125">
        <f>1854000</f>
        <v>1854000</v>
      </c>
      <c r="G1300" s="125">
        <f t="shared" si="53"/>
        <v>1668599.9999999998</v>
      </c>
      <c r="H1300" s="106"/>
      <c r="I1300" s="111"/>
    </row>
    <row r="1301" spans="1:9" ht="15.75">
      <c r="A1301" s="61"/>
      <c r="B1301" s="62"/>
      <c r="C1301" s="29" t="s">
        <v>875</v>
      </c>
      <c r="D1301" s="49" t="s">
        <v>210</v>
      </c>
      <c r="E1301" s="50">
        <v>30</v>
      </c>
      <c r="F1301" s="125"/>
      <c r="G1301" s="125"/>
      <c r="H1301" s="106"/>
      <c r="I1301" s="111"/>
    </row>
    <row r="1302" spans="1:9" ht="15.75">
      <c r="A1302" s="61"/>
      <c r="B1302" s="62"/>
      <c r="C1302" s="29" t="s">
        <v>830</v>
      </c>
      <c r="D1302" s="49" t="s">
        <v>37</v>
      </c>
      <c r="E1302" s="50">
        <v>16</v>
      </c>
      <c r="F1302" s="125">
        <v>20000</v>
      </c>
      <c r="G1302" s="125">
        <f t="shared" si="53"/>
        <v>320000</v>
      </c>
      <c r="H1302" s="106" t="s">
        <v>187</v>
      </c>
      <c r="I1302" s="111"/>
    </row>
    <row r="1303" spans="1:9" ht="15.75">
      <c r="A1303" s="61"/>
      <c r="B1303" s="62"/>
      <c r="C1303" s="29" t="s">
        <v>831</v>
      </c>
      <c r="D1303" s="49" t="s">
        <v>37</v>
      </c>
      <c r="E1303" s="50">
        <v>2</v>
      </c>
      <c r="F1303" s="125">
        <v>10000</v>
      </c>
      <c r="G1303" s="125">
        <f t="shared" si="53"/>
        <v>20000</v>
      </c>
      <c r="H1303" s="106" t="s">
        <v>187</v>
      </c>
      <c r="I1303" s="111"/>
    </row>
    <row r="1304" spans="1:9" ht="15.75">
      <c r="A1304" s="61"/>
      <c r="B1304" s="62"/>
      <c r="C1304" s="29" t="s">
        <v>833</v>
      </c>
      <c r="D1304" s="49" t="s">
        <v>37</v>
      </c>
      <c r="E1304" s="50">
        <v>2</v>
      </c>
      <c r="F1304" s="125">
        <v>20000</v>
      </c>
      <c r="G1304" s="125">
        <f t="shared" si="53"/>
        <v>40000</v>
      </c>
      <c r="H1304" s="106" t="s">
        <v>187</v>
      </c>
      <c r="I1304" s="111"/>
    </row>
    <row r="1305" spans="1:9" ht="15.75">
      <c r="A1305" s="61"/>
      <c r="B1305" s="62"/>
      <c r="C1305" s="29" t="s">
        <v>828</v>
      </c>
      <c r="D1305" s="49" t="s">
        <v>37</v>
      </c>
      <c r="E1305" s="50">
        <v>1</v>
      </c>
      <c r="F1305" s="125">
        <v>40000</v>
      </c>
      <c r="G1305" s="125">
        <f t="shared" si="53"/>
        <v>40000</v>
      </c>
      <c r="H1305" s="106" t="s">
        <v>187</v>
      </c>
      <c r="I1305" s="111"/>
    </row>
    <row r="1306" spans="1:9" ht="15.75">
      <c r="A1306" s="61"/>
      <c r="B1306" s="62"/>
      <c r="C1306" s="29" t="s">
        <v>829</v>
      </c>
      <c r="D1306" s="49" t="s">
        <v>37</v>
      </c>
      <c r="E1306" s="50">
        <v>3</v>
      </c>
      <c r="F1306" s="125">
        <v>20000</v>
      </c>
      <c r="G1306" s="125">
        <f t="shared" si="53"/>
        <v>60000</v>
      </c>
      <c r="H1306" s="106" t="s">
        <v>187</v>
      </c>
      <c r="I1306" s="111"/>
    </row>
    <row r="1307" spans="1:9" ht="15.75">
      <c r="A1307" s="61"/>
      <c r="B1307" s="30"/>
      <c r="C1307" s="29" t="s">
        <v>827</v>
      </c>
      <c r="D1307" s="49" t="s">
        <v>37</v>
      </c>
      <c r="E1307" s="60">
        <v>2</v>
      </c>
      <c r="F1307" s="125">
        <v>20000</v>
      </c>
      <c r="G1307" s="125">
        <f t="shared" si="53"/>
        <v>40000</v>
      </c>
      <c r="H1307" s="106" t="s">
        <v>187</v>
      </c>
      <c r="I1307" s="111"/>
    </row>
    <row r="1308" spans="1:9" ht="15.75">
      <c r="A1308" s="42"/>
      <c r="B1308" s="43" t="s">
        <v>5</v>
      </c>
      <c r="C1308" s="44"/>
      <c r="D1308" s="45"/>
      <c r="E1308" s="46"/>
      <c r="F1308" s="133"/>
      <c r="G1308" s="156">
        <f>SUM(G1289:G1307)</f>
        <v>416232728.5</v>
      </c>
      <c r="H1308" s="261"/>
      <c r="I1308" s="111"/>
    </row>
    <row r="1309" spans="1:9" ht="31.5">
      <c r="A1309" s="54">
        <v>94</v>
      </c>
      <c r="B1309" s="55" t="s">
        <v>721</v>
      </c>
      <c r="C1309" s="56" t="s">
        <v>722</v>
      </c>
      <c r="D1309" s="37" t="s">
        <v>20</v>
      </c>
      <c r="E1309" s="57">
        <v>1154.6</v>
      </c>
      <c r="F1309" s="125"/>
      <c r="G1309" s="125">
        <f>F1309*E1309</f>
        <v>0</v>
      </c>
      <c r="H1309" s="105"/>
      <c r="I1309" s="111"/>
    </row>
    <row r="1310" spans="1:9" ht="15.75">
      <c r="A1310" s="54"/>
      <c r="B1310" s="62" t="s">
        <v>17</v>
      </c>
      <c r="C1310" s="29" t="s">
        <v>195</v>
      </c>
      <c r="D1310" s="37"/>
      <c r="E1310" s="84"/>
      <c r="F1310" s="125"/>
      <c r="G1310" s="125"/>
      <c r="H1310" s="105"/>
      <c r="I1310" s="111"/>
    </row>
    <row r="1311" spans="1:9" ht="47.25">
      <c r="A1311" s="61"/>
      <c r="B1311" s="30" t="s">
        <v>560</v>
      </c>
      <c r="C1311" s="29" t="s">
        <v>820</v>
      </c>
      <c r="D1311" s="37" t="s">
        <v>20</v>
      </c>
      <c r="E1311" s="84">
        <v>573</v>
      </c>
      <c r="F1311" s="125">
        <v>2041000</v>
      </c>
      <c r="G1311" s="125">
        <f>F1311*E1311</f>
        <v>1169493000</v>
      </c>
      <c r="H1311" s="106"/>
      <c r="I1311" s="111"/>
    </row>
    <row r="1312" spans="1:9" ht="31.5">
      <c r="A1312" s="61"/>
      <c r="B1312" s="62" t="s">
        <v>459</v>
      </c>
      <c r="C1312" s="29" t="s">
        <v>953</v>
      </c>
      <c r="D1312" s="37" t="s">
        <v>20</v>
      </c>
      <c r="E1312" s="50">
        <v>581.5999999999999</v>
      </c>
      <c r="F1312" s="125">
        <v>1841000</v>
      </c>
      <c r="G1312" s="125">
        <f>F1312*E1312</f>
        <v>1070725599.9999999</v>
      </c>
      <c r="H1312" s="106"/>
      <c r="I1312" s="111"/>
    </row>
    <row r="1313" spans="1:9" ht="15.75">
      <c r="A1313" s="61"/>
      <c r="B1313" s="47"/>
      <c r="C1313" s="30" t="s">
        <v>203</v>
      </c>
      <c r="D1313" s="64" t="s">
        <v>145</v>
      </c>
      <c r="E1313" s="60">
        <v>70</v>
      </c>
      <c r="F1313" s="130">
        <v>96000</v>
      </c>
      <c r="G1313" s="125">
        <f>F1313*E1313</f>
        <v>6720000</v>
      </c>
      <c r="H1313" s="106"/>
      <c r="I1313" s="111"/>
    </row>
    <row r="1314" spans="1:9" ht="15.75">
      <c r="A1314" s="42"/>
      <c r="B1314" s="43" t="s">
        <v>5</v>
      </c>
      <c r="C1314" s="44"/>
      <c r="D1314" s="45"/>
      <c r="E1314" s="46"/>
      <c r="F1314" s="133"/>
      <c r="G1314" s="156">
        <f>SUM(G1309:G1313)</f>
        <v>2246938600</v>
      </c>
      <c r="H1314" s="261"/>
      <c r="I1314" s="111"/>
    </row>
    <row r="1315" spans="1:9" ht="31.5">
      <c r="A1315" s="54">
        <v>95</v>
      </c>
      <c r="B1315" s="55" t="s">
        <v>460</v>
      </c>
      <c r="C1315" s="56" t="s">
        <v>724</v>
      </c>
      <c r="D1315" s="37" t="s">
        <v>20</v>
      </c>
      <c r="E1315" s="57">
        <v>53.9</v>
      </c>
      <c r="F1315" s="125"/>
      <c r="G1315" s="125">
        <f>F1315*E1315</f>
        <v>0</v>
      </c>
      <c r="H1315" s="105"/>
      <c r="I1315" s="111"/>
    </row>
    <row r="1316" spans="1:9" ht="15.75">
      <c r="A1316" s="54"/>
      <c r="B1316" s="55" t="s">
        <v>723</v>
      </c>
      <c r="C1316" s="29" t="s">
        <v>195</v>
      </c>
      <c r="D1316" s="37"/>
      <c r="E1316" s="84"/>
      <c r="F1316" s="125"/>
      <c r="G1316" s="125"/>
      <c r="H1316" s="105"/>
      <c r="I1316" s="111"/>
    </row>
    <row r="1317" spans="1:9" ht="42" customHeight="1">
      <c r="A1317" s="54"/>
      <c r="B1317" s="30" t="s">
        <v>561</v>
      </c>
      <c r="C1317" s="29" t="s">
        <v>819</v>
      </c>
      <c r="D1317" s="37"/>
      <c r="E1317" s="84">
        <v>13.7</v>
      </c>
      <c r="F1317" s="125"/>
      <c r="G1317" s="125"/>
      <c r="H1317" s="105"/>
      <c r="I1317" s="111"/>
    </row>
    <row r="1318" spans="1:9" ht="96.75" customHeight="1">
      <c r="A1318" s="61"/>
      <c r="B1318" s="62" t="s">
        <v>461</v>
      </c>
      <c r="C1318" s="29" t="s">
        <v>896</v>
      </c>
      <c r="D1318" s="37" t="s">
        <v>20</v>
      </c>
      <c r="E1318" s="60">
        <v>40.2</v>
      </c>
      <c r="F1318" s="130">
        <v>6791600</v>
      </c>
      <c r="G1318" s="125">
        <f>F1318*E1318</f>
        <v>273022320</v>
      </c>
      <c r="H1318" s="106"/>
      <c r="I1318" s="111"/>
    </row>
    <row r="1319" spans="1:9" s="149" customFormat="1" ht="15.75">
      <c r="A1319" s="145"/>
      <c r="B1319" s="43" t="s">
        <v>5</v>
      </c>
      <c r="C1319" s="146"/>
      <c r="D1319" s="147"/>
      <c r="E1319" s="209"/>
      <c r="F1319" s="148"/>
      <c r="G1319" s="156">
        <f>SUM(G1315:G1318)</f>
        <v>273022320</v>
      </c>
      <c r="H1319" s="260"/>
      <c r="I1319" s="119"/>
    </row>
    <row r="1320" spans="1:9" ht="31.5">
      <c r="A1320" s="275">
        <v>96</v>
      </c>
      <c r="B1320" s="150" t="s">
        <v>462</v>
      </c>
      <c r="C1320" s="56" t="s">
        <v>725</v>
      </c>
      <c r="D1320" s="37" t="s">
        <v>20</v>
      </c>
      <c r="E1320" s="151">
        <v>249.9</v>
      </c>
      <c r="F1320" s="134"/>
      <c r="G1320" s="134">
        <f>F1320*E1320</f>
        <v>0</v>
      </c>
      <c r="H1320" s="276"/>
      <c r="I1320" s="111"/>
    </row>
    <row r="1321" spans="1:9" ht="15.75">
      <c r="A1321" s="61"/>
      <c r="B1321" s="30" t="s">
        <v>17</v>
      </c>
      <c r="C1321" s="29" t="s">
        <v>195</v>
      </c>
      <c r="D1321" s="37"/>
      <c r="E1321" s="50"/>
      <c r="F1321" s="125"/>
      <c r="G1321" s="125"/>
      <c r="H1321" s="144"/>
      <c r="I1321" s="111"/>
    </row>
    <row r="1322" spans="1:9" ht="111" customHeight="1">
      <c r="A1322" s="61"/>
      <c r="B1322" s="30" t="s">
        <v>562</v>
      </c>
      <c r="C1322" s="29" t="s">
        <v>799</v>
      </c>
      <c r="D1322" s="37" t="s">
        <v>20</v>
      </c>
      <c r="E1322" s="50">
        <v>80</v>
      </c>
      <c r="F1322" s="125">
        <v>5102000</v>
      </c>
      <c r="G1322" s="125">
        <f>F1322*E1322</f>
        <v>408160000</v>
      </c>
      <c r="H1322" s="144"/>
      <c r="I1322" s="111"/>
    </row>
    <row r="1323" spans="1:9" ht="110.25">
      <c r="A1323" s="61"/>
      <c r="B1323" s="30" t="s">
        <v>465</v>
      </c>
      <c r="C1323" s="48" t="s">
        <v>944</v>
      </c>
      <c r="D1323" s="37" t="s">
        <v>20</v>
      </c>
      <c r="E1323" s="50">
        <v>169.9</v>
      </c>
      <c r="F1323" s="125">
        <v>2551000</v>
      </c>
      <c r="G1323" s="125">
        <f>F1323*E1323</f>
        <v>433414900</v>
      </c>
      <c r="H1323" s="144"/>
      <c r="I1323" s="111"/>
    </row>
    <row r="1324" spans="1:9" ht="18.75">
      <c r="A1324" s="61"/>
      <c r="B1324" s="30"/>
      <c r="C1324" s="48" t="s">
        <v>463</v>
      </c>
      <c r="D1324" s="37" t="s">
        <v>32</v>
      </c>
      <c r="E1324" s="60">
        <f>(4*0.2*0.2)*12</f>
        <v>1.9200000000000004</v>
      </c>
      <c r="F1324" s="125">
        <f>1854000</f>
        <v>1854000</v>
      </c>
      <c r="G1324" s="130">
        <f>F1324*E1324</f>
        <v>3559680.0000000005</v>
      </c>
      <c r="H1324" s="106"/>
      <c r="I1324" s="111"/>
    </row>
    <row r="1325" spans="1:9" ht="18.75">
      <c r="A1325" s="61"/>
      <c r="B1325" s="30"/>
      <c r="C1325" s="48" t="s">
        <v>464</v>
      </c>
      <c r="D1325" s="37" t="s">
        <v>20</v>
      </c>
      <c r="E1325" s="60">
        <f>35*1.8*0.2</f>
        <v>12.600000000000001</v>
      </c>
      <c r="F1325" s="130">
        <v>1670000</v>
      </c>
      <c r="G1325" s="130">
        <f>F1325*E1325</f>
        <v>21042000.000000004</v>
      </c>
      <c r="H1325" s="106"/>
      <c r="I1325" s="111"/>
    </row>
    <row r="1326" spans="1:9" s="149" customFormat="1" ht="15.75">
      <c r="A1326" s="145"/>
      <c r="B1326" s="277" t="s">
        <v>5</v>
      </c>
      <c r="C1326" s="146"/>
      <c r="D1326" s="147"/>
      <c r="E1326" s="209"/>
      <c r="F1326" s="148"/>
      <c r="G1326" s="156">
        <f>SUM(G1320:G1325)</f>
        <v>866176580</v>
      </c>
      <c r="H1326" s="260"/>
      <c r="I1326" s="119"/>
    </row>
    <row r="1327" spans="1:9" ht="31.5">
      <c r="A1327" s="275">
        <v>97</v>
      </c>
      <c r="B1327" s="150" t="s">
        <v>994</v>
      </c>
      <c r="C1327" s="56" t="s">
        <v>734</v>
      </c>
      <c r="D1327" s="37" t="s">
        <v>20</v>
      </c>
      <c r="E1327" s="151">
        <v>86</v>
      </c>
      <c r="F1327" s="134"/>
      <c r="G1327" s="134">
        <f aca="true" t="shared" si="54" ref="G1327:G1334">F1327*E1327</f>
        <v>0</v>
      </c>
      <c r="H1327" s="276"/>
      <c r="I1327" s="263"/>
    </row>
    <row r="1328" spans="1:9" ht="15.75">
      <c r="A1328" s="61"/>
      <c r="B1328" s="69" t="s">
        <v>732</v>
      </c>
      <c r="C1328" s="29" t="s">
        <v>195</v>
      </c>
      <c r="D1328" s="37"/>
      <c r="E1328" s="50"/>
      <c r="F1328" s="125"/>
      <c r="G1328" s="125"/>
      <c r="H1328" s="144"/>
      <c r="I1328" s="110"/>
    </row>
    <row r="1329" spans="1:9" ht="134.25" customHeight="1">
      <c r="A1329" s="61"/>
      <c r="B1329" s="30" t="s">
        <v>892</v>
      </c>
      <c r="C1329" s="29" t="s">
        <v>947</v>
      </c>
      <c r="D1329" s="37" t="s">
        <v>20</v>
      </c>
      <c r="E1329" s="50">
        <v>86</v>
      </c>
      <c r="F1329" s="125">
        <v>2551000</v>
      </c>
      <c r="G1329" s="130">
        <f t="shared" si="54"/>
        <v>219386000</v>
      </c>
      <c r="H1329" s="144"/>
      <c r="I1329" s="110"/>
    </row>
    <row r="1330" spans="1:9" ht="88.5" customHeight="1">
      <c r="A1330" s="61"/>
      <c r="B1330" s="30" t="s">
        <v>733</v>
      </c>
      <c r="C1330" s="48" t="s">
        <v>487</v>
      </c>
      <c r="D1330" s="37" t="s">
        <v>20</v>
      </c>
      <c r="E1330" s="60">
        <f>4.92*19</f>
        <v>93.48</v>
      </c>
      <c r="F1330" s="130">
        <v>3230000</v>
      </c>
      <c r="G1330" s="130">
        <f t="shared" si="54"/>
        <v>301940400</v>
      </c>
      <c r="H1330" s="106"/>
      <c r="I1330" s="111"/>
    </row>
    <row r="1331" spans="1:9" ht="31.5">
      <c r="A1331" s="61"/>
      <c r="B1331" s="30"/>
      <c r="C1331" s="48" t="s">
        <v>47</v>
      </c>
      <c r="D1331" s="37" t="s">
        <v>20</v>
      </c>
      <c r="E1331" s="60">
        <f>5.3*5.9</f>
        <v>31.27</v>
      </c>
      <c r="F1331" s="125">
        <v>498000</v>
      </c>
      <c r="G1331" s="130">
        <f t="shared" si="54"/>
        <v>15572460</v>
      </c>
      <c r="H1331" s="106"/>
      <c r="I1331" s="111"/>
    </row>
    <row r="1332" spans="1:9" ht="18.75">
      <c r="A1332" s="61"/>
      <c r="B1332" s="30"/>
      <c r="C1332" s="48" t="s">
        <v>69</v>
      </c>
      <c r="D1332" s="37" t="s">
        <v>20</v>
      </c>
      <c r="E1332" s="60">
        <f>5.3*2.5</f>
        <v>13.25</v>
      </c>
      <c r="F1332" s="125">
        <v>85000</v>
      </c>
      <c r="G1332" s="130">
        <f t="shared" si="54"/>
        <v>1126250</v>
      </c>
      <c r="H1332" s="106" t="s">
        <v>187</v>
      </c>
      <c r="I1332" s="111"/>
    </row>
    <row r="1333" spans="1:9" ht="15.75">
      <c r="A1333" s="61"/>
      <c r="B1333" s="69"/>
      <c r="C1333" s="48" t="s">
        <v>141</v>
      </c>
      <c r="D1333" s="37" t="s">
        <v>189</v>
      </c>
      <c r="E1333" s="60">
        <v>1</v>
      </c>
      <c r="F1333" s="130">
        <v>5500000</v>
      </c>
      <c r="G1333" s="130">
        <f t="shared" si="54"/>
        <v>5500000</v>
      </c>
      <c r="H1333" s="106"/>
      <c r="I1333" s="111"/>
    </row>
    <row r="1334" spans="1:9" ht="15.75">
      <c r="A1334" s="61"/>
      <c r="B1334" s="69"/>
      <c r="C1334" s="48" t="s">
        <v>882</v>
      </c>
      <c r="D1334" s="64" t="s">
        <v>210</v>
      </c>
      <c r="E1334" s="60">
        <v>30</v>
      </c>
      <c r="F1334" s="125">
        <v>13640</v>
      </c>
      <c r="G1334" s="155">
        <f t="shared" si="54"/>
        <v>409200</v>
      </c>
      <c r="H1334" s="105" t="s">
        <v>903</v>
      </c>
      <c r="I1334" s="111"/>
    </row>
    <row r="1335" spans="1:9" s="149" customFormat="1" ht="15.75">
      <c r="A1335" s="145"/>
      <c r="B1335" s="277" t="s">
        <v>5</v>
      </c>
      <c r="C1335" s="146"/>
      <c r="D1335" s="147"/>
      <c r="E1335" s="209"/>
      <c r="F1335" s="148"/>
      <c r="G1335" s="272">
        <f>SUM(G1327:G1334)</f>
        <v>543934310</v>
      </c>
      <c r="H1335" s="260"/>
      <c r="I1335" s="119"/>
    </row>
    <row r="1336" spans="1:9" ht="31.5">
      <c r="A1336" s="278">
        <v>98</v>
      </c>
      <c r="B1336" s="150" t="s">
        <v>1182</v>
      </c>
      <c r="C1336" s="56" t="s">
        <v>726</v>
      </c>
      <c r="D1336" s="37" t="s">
        <v>20</v>
      </c>
      <c r="E1336" s="151">
        <v>172.2</v>
      </c>
      <c r="F1336" s="134"/>
      <c r="G1336" s="134">
        <f>F1336*E1336</f>
        <v>0</v>
      </c>
      <c r="H1336" s="276"/>
      <c r="I1336" s="111"/>
    </row>
    <row r="1337" spans="1:9" ht="15.75">
      <c r="A1337" s="61"/>
      <c r="B1337" s="69" t="s">
        <v>1183</v>
      </c>
      <c r="C1337" s="29" t="s">
        <v>195</v>
      </c>
      <c r="D1337" s="37"/>
      <c r="E1337" s="50"/>
      <c r="F1337" s="125"/>
      <c r="G1337" s="125"/>
      <c r="H1337" s="144"/>
      <c r="I1337" s="111"/>
    </row>
    <row r="1338" spans="1:9" ht="128.25" customHeight="1">
      <c r="A1338" s="61"/>
      <c r="B1338" s="30" t="s">
        <v>18</v>
      </c>
      <c r="C1338" s="29" t="s">
        <v>947</v>
      </c>
      <c r="D1338" s="37" t="s">
        <v>20</v>
      </c>
      <c r="E1338" s="50">
        <v>172.2</v>
      </c>
      <c r="F1338" s="125">
        <v>2551000</v>
      </c>
      <c r="G1338" s="130">
        <f aca="true" t="shared" si="55" ref="G1338:G1344">F1338*E1338</f>
        <v>439282200</v>
      </c>
      <c r="H1338" s="144"/>
      <c r="I1338" s="111"/>
    </row>
    <row r="1339" spans="1:9" ht="31.5">
      <c r="A1339" s="61"/>
      <c r="B1339" s="30" t="s">
        <v>1184</v>
      </c>
      <c r="C1339" s="48" t="s">
        <v>36</v>
      </c>
      <c r="D1339" s="37" t="s">
        <v>20</v>
      </c>
      <c r="E1339" s="60">
        <f>8.89*24</f>
        <v>213.36</v>
      </c>
      <c r="F1339" s="125">
        <v>125000</v>
      </c>
      <c r="G1339" s="130">
        <f t="shared" si="55"/>
        <v>26670000</v>
      </c>
      <c r="H1339" s="106"/>
      <c r="I1339" s="111"/>
    </row>
    <row r="1340" spans="1:9" ht="18.75">
      <c r="A1340" s="61"/>
      <c r="B1340" s="30"/>
      <c r="C1340" s="48" t="s">
        <v>25</v>
      </c>
      <c r="D1340" s="37" t="s">
        <v>32</v>
      </c>
      <c r="E1340" s="60">
        <f>24*1.5*0.1</f>
        <v>3.6</v>
      </c>
      <c r="F1340" s="125">
        <v>1250000</v>
      </c>
      <c r="G1340" s="130">
        <f>F1340*E1340</f>
        <v>4500000</v>
      </c>
      <c r="H1340" s="106"/>
      <c r="I1340" s="111"/>
    </row>
    <row r="1341" spans="1:9" ht="18.75">
      <c r="A1341" s="61"/>
      <c r="B1341" s="30"/>
      <c r="C1341" s="48" t="s">
        <v>26</v>
      </c>
      <c r="D1341" s="37" t="s">
        <v>20</v>
      </c>
      <c r="E1341" s="60">
        <f>24*1.5</f>
        <v>36</v>
      </c>
      <c r="F1341" s="125">
        <v>82000</v>
      </c>
      <c r="G1341" s="130">
        <f t="shared" si="55"/>
        <v>2952000</v>
      </c>
      <c r="H1341" s="106"/>
      <c r="I1341" s="111"/>
    </row>
    <row r="1342" spans="1:9" ht="18.75">
      <c r="A1342" s="61"/>
      <c r="B1342" s="69"/>
      <c r="C1342" s="48" t="s">
        <v>69</v>
      </c>
      <c r="D1342" s="37" t="s">
        <v>20</v>
      </c>
      <c r="E1342" s="60">
        <f>8.9*2</f>
        <v>17.8</v>
      </c>
      <c r="F1342" s="125">
        <v>85000</v>
      </c>
      <c r="G1342" s="130">
        <f t="shared" si="55"/>
        <v>1513000</v>
      </c>
      <c r="H1342" s="106" t="s">
        <v>187</v>
      </c>
      <c r="I1342" s="111"/>
    </row>
    <row r="1343" spans="1:9" ht="15.75">
      <c r="A1343" s="61"/>
      <c r="B1343" s="69"/>
      <c r="C1343" s="48" t="s">
        <v>848</v>
      </c>
      <c r="D1343" s="37" t="s">
        <v>117</v>
      </c>
      <c r="E1343" s="60">
        <v>80</v>
      </c>
      <c r="F1343" s="130">
        <v>40000</v>
      </c>
      <c r="G1343" s="130">
        <f t="shared" si="55"/>
        <v>3200000</v>
      </c>
      <c r="H1343" s="106" t="s">
        <v>187</v>
      </c>
      <c r="I1343" s="111"/>
    </row>
    <row r="1344" spans="1:9" ht="15.75">
      <c r="A1344" s="61"/>
      <c r="B1344" s="69"/>
      <c r="C1344" s="48" t="s">
        <v>847</v>
      </c>
      <c r="D1344" s="37" t="s">
        <v>117</v>
      </c>
      <c r="E1344" s="60">
        <v>21</v>
      </c>
      <c r="F1344" s="130">
        <v>20000</v>
      </c>
      <c r="G1344" s="155">
        <f t="shared" si="55"/>
        <v>420000</v>
      </c>
      <c r="H1344" s="106" t="s">
        <v>187</v>
      </c>
      <c r="I1344" s="111"/>
    </row>
    <row r="1345" spans="1:9" s="149" customFormat="1" ht="15.75">
      <c r="A1345" s="145"/>
      <c r="B1345" s="277" t="s">
        <v>5</v>
      </c>
      <c r="C1345" s="279"/>
      <c r="D1345" s="280"/>
      <c r="E1345" s="281"/>
      <c r="F1345" s="148"/>
      <c r="G1345" s="272">
        <f>SUM(G1336:G1344)</f>
        <v>478537200</v>
      </c>
      <c r="H1345" s="260"/>
      <c r="I1345" s="119"/>
    </row>
    <row r="1346" spans="1:9" ht="31.5">
      <c r="A1346" s="278">
        <v>99</v>
      </c>
      <c r="B1346" s="150" t="s">
        <v>1180</v>
      </c>
      <c r="C1346" s="56" t="s">
        <v>727</v>
      </c>
      <c r="D1346" s="37" t="s">
        <v>20</v>
      </c>
      <c r="E1346" s="151">
        <v>82</v>
      </c>
      <c r="F1346" s="134"/>
      <c r="G1346" s="134">
        <f>F1346*E1346</f>
        <v>0</v>
      </c>
      <c r="H1346" s="259"/>
      <c r="I1346" s="111"/>
    </row>
    <row r="1347" spans="1:9" ht="15.75">
      <c r="A1347" s="61"/>
      <c r="B1347" s="55" t="s">
        <v>1181</v>
      </c>
      <c r="C1347" s="29" t="s">
        <v>195</v>
      </c>
      <c r="D1347" s="37"/>
      <c r="E1347" s="50"/>
      <c r="F1347" s="125"/>
      <c r="G1347" s="125"/>
      <c r="H1347" s="144"/>
      <c r="I1347" s="111"/>
    </row>
    <row r="1348" spans="1:9" ht="76.5" customHeight="1">
      <c r="A1348" s="61"/>
      <c r="B1348" s="182" t="s">
        <v>563</v>
      </c>
      <c r="C1348" s="29" t="s">
        <v>995</v>
      </c>
      <c r="D1348" s="37" t="s">
        <v>20</v>
      </c>
      <c r="E1348" s="50">
        <v>82</v>
      </c>
      <c r="F1348" s="125">
        <v>31014000</v>
      </c>
      <c r="G1348" s="125">
        <f>F1348*E1348</f>
        <v>2543148000</v>
      </c>
      <c r="H1348" s="106"/>
      <c r="I1348" s="111"/>
    </row>
    <row r="1349" spans="1:9" ht="99" customHeight="1">
      <c r="A1349" s="61"/>
      <c r="B1349" s="30" t="s">
        <v>466</v>
      </c>
      <c r="C1349" s="29" t="s">
        <v>503</v>
      </c>
      <c r="D1349" s="37" t="s">
        <v>20</v>
      </c>
      <c r="E1349" s="50">
        <f>6.85*10.3</f>
        <v>70.555</v>
      </c>
      <c r="F1349" s="125">
        <v>821000</v>
      </c>
      <c r="G1349" s="130">
        <f>F1349*E1349</f>
        <v>57925655.00000001</v>
      </c>
      <c r="H1349" s="144" t="s">
        <v>1177</v>
      </c>
      <c r="I1349" s="117"/>
    </row>
    <row r="1350" spans="1:9" ht="31.5">
      <c r="A1350" s="61"/>
      <c r="B1350" s="236"/>
      <c r="C1350" s="48" t="s">
        <v>47</v>
      </c>
      <c r="D1350" s="37" t="s">
        <v>20</v>
      </c>
      <c r="E1350" s="60">
        <f>2*6.85</f>
        <v>13.7</v>
      </c>
      <c r="F1350" s="125">
        <v>498000</v>
      </c>
      <c r="G1350" s="130">
        <f>F1350*E1350</f>
        <v>6822600</v>
      </c>
      <c r="H1350" s="106"/>
      <c r="I1350" s="117"/>
    </row>
    <row r="1351" spans="1:9" ht="18.75">
      <c r="A1351" s="61"/>
      <c r="B1351" s="224"/>
      <c r="C1351" s="229" t="s">
        <v>54</v>
      </c>
      <c r="D1351" s="230" t="s">
        <v>20</v>
      </c>
      <c r="E1351" s="231">
        <f>4*2.7</f>
        <v>10.8</v>
      </c>
      <c r="F1351" s="232">
        <v>85000</v>
      </c>
      <c r="G1351" s="232">
        <f>F1351*E1351</f>
        <v>918000.0000000001</v>
      </c>
      <c r="H1351" s="251" t="s">
        <v>187</v>
      </c>
      <c r="I1351" s="117"/>
    </row>
    <row r="1352" spans="1:9" s="149" customFormat="1" ht="15.75">
      <c r="A1352" s="145"/>
      <c r="B1352" s="277" t="s">
        <v>5</v>
      </c>
      <c r="C1352" s="146"/>
      <c r="D1352" s="147"/>
      <c r="E1352" s="209"/>
      <c r="F1352" s="148"/>
      <c r="G1352" s="156">
        <f>SUM(G1346:G1351)</f>
        <v>2608814255</v>
      </c>
      <c r="H1352" s="260"/>
      <c r="I1352" s="119"/>
    </row>
    <row r="1353" spans="1:9" ht="31.5">
      <c r="A1353" s="278">
        <v>100</v>
      </c>
      <c r="B1353" s="150" t="s">
        <v>679</v>
      </c>
      <c r="C1353" s="56" t="s">
        <v>729</v>
      </c>
      <c r="D1353" s="37" t="s">
        <v>20</v>
      </c>
      <c r="E1353" s="151">
        <v>194.7</v>
      </c>
      <c r="F1353" s="134"/>
      <c r="G1353" s="134">
        <f>F1353*E1353</f>
        <v>0</v>
      </c>
      <c r="H1353" s="259"/>
      <c r="I1353" s="111"/>
    </row>
    <row r="1354" spans="1:9" ht="15.75">
      <c r="A1354" s="61"/>
      <c r="B1354" s="55" t="s">
        <v>728</v>
      </c>
      <c r="C1354" s="29" t="s">
        <v>195</v>
      </c>
      <c r="D1354" s="37"/>
      <c r="E1354" s="50"/>
      <c r="F1354" s="125"/>
      <c r="G1354" s="125"/>
      <c r="H1354" s="106"/>
      <c r="I1354" s="111"/>
    </row>
    <row r="1355" spans="1:9" ht="104.25" customHeight="1">
      <c r="A1355" s="61"/>
      <c r="B1355" s="30" t="s">
        <v>564</v>
      </c>
      <c r="C1355" s="29" t="s">
        <v>799</v>
      </c>
      <c r="D1355" s="37" t="s">
        <v>20</v>
      </c>
      <c r="E1355" s="50">
        <v>100</v>
      </c>
      <c r="F1355" s="125">
        <v>5102000</v>
      </c>
      <c r="G1355" s="125">
        <f>F1355*E1355</f>
        <v>510200000</v>
      </c>
      <c r="H1355" s="106"/>
      <c r="I1355" s="111"/>
    </row>
    <row r="1356" spans="1:9" ht="123" customHeight="1">
      <c r="A1356" s="61"/>
      <c r="B1356" s="30" t="s">
        <v>469</v>
      </c>
      <c r="C1356" s="48" t="s">
        <v>944</v>
      </c>
      <c r="D1356" s="37" t="s">
        <v>20</v>
      </c>
      <c r="E1356" s="50">
        <v>94.7</v>
      </c>
      <c r="F1356" s="125">
        <v>2551000</v>
      </c>
      <c r="G1356" s="125">
        <f>F1356*E1356</f>
        <v>241579700</v>
      </c>
      <c r="H1356" s="106"/>
      <c r="I1356" s="111"/>
    </row>
    <row r="1357" spans="1:9" ht="108" customHeight="1">
      <c r="A1357" s="61"/>
      <c r="B1357" s="30"/>
      <c r="C1357" s="29" t="s">
        <v>467</v>
      </c>
      <c r="D1357" s="37" t="s">
        <v>20</v>
      </c>
      <c r="E1357" s="50">
        <f>5*22.1</f>
        <v>110.5</v>
      </c>
      <c r="F1357" s="125">
        <v>3230000</v>
      </c>
      <c r="G1357" s="130">
        <f aca="true" t="shared" si="56" ref="G1357:G1377">F1357*E1357</f>
        <v>356915000</v>
      </c>
      <c r="H1357" s="106" t="s">
        <v>468</v>
      </c>
      <c r="I1357" s="111"/>
    </row>
    <row r="1358" spans="1:9" ht="15.75">
      <c r="A1358" s="61"/>
      <c r="B1358" s="30"/>
      <c r="C1358" s="48" t="s">
        <v>838</v>
      </c>
      <c r="D1358" s="64" t="s">
        <v>210</v>
      </c>
      <c r="E1358" s="60">
        <v>80</v>
      </c>
      <c r="F1358" s="130">
        <v>106810</v>
      </c>
      <c r="G1358" s="130">
        <f t="shared" si="56"/>
        <v>8544800</v>
      </c>
      <c r="H1358" s="105" t="s">
        <v>903</v>
      </c>
      <c r="I1358" s="111"/>
    </row>
    <row r="1359" spans="1:9" ht="15.75">
      <c r="A1359" s="61"/>
      <c r="B1359" s="30"/>
      <c r="C1359" s="48" t="s">
        <v>826</v>
      </c>
      <c r="D1359" s="64" t="s">
        <v>210</v>
      </c>
      <c r="E1359" s="60">
        <v>70</v>
      </c>
      <c r="F1359" s="125">
        <v>9680</v>
      </c>
      <c r="G1359" s="125">
        <f t="shared" si="56"/>
        <v>677600</v>
      </c>
      <c r="H1359" s="105" t="s">
        <v>903</v>
      </c>
      <c r="I1359" s="111"/>
    </row>
    <row r="1360" spans="1:9" ht="15.75">
      <c r="A1360" s="61"/>
      <c r="B1360" s="30"/>
      <c r="C1360" s="48" t="s">
        <v>470</v>
      </c>
      <c r="D1360" s="37" t="s">
        <v>31</v>
      </c>
      <c r="E1360" s="60">
        <v>86</v>
      </c>
      <c r="F1360" s="130"/>
      <c r="G1360" s="130">
        <f t="shared" si="56"/>
        <v>0</v>
      </c>
      <c r="H1360" s="106"/>
      <c r="I1360" s="111"/>
    </row>
    <row r="1361" spans="1:9" ht="15.75">
      <c r="A1361" s="61"/>
      <c r="B1361" s="30"/>
      <c r="C1361" s="48" t="s">
        <v>476</v>
      </c>
      <c r="D1361" s="37" t="s">
        <v>42</v>
      </c>
      <c r="E1361" s="60">
        <v>1</v>
      </c>
      <c r="F1361" s="130">
        <f>2500000+(100000*23)</f>
        <v>4800000</v>
      </c>
      <c r="G1361" s="130">
        <f t="shared" si="56"/>
        <v>4800000</v>
      </c>
      <c r="H1361" s="106"/>
      <c r="I1361" s="111"/>
    </row>
    <row r="1362" spans="1:9" ht="15.75">
      <c r="A1362" s="61"/>
      <c r="B1362" s="30"/>
      <c r="C1362" s="48" t="s">
        <v>836</v>
      </c>
      <c r="D1362" s="37" t="s">
        <v>210</v>
      </c>
      <c r="E1362" s="60">
        <v>40</v>
      </c>
      <c r="F1362" s="125">
        <v>13640</v>
      </c>
      <c r="G1362" s="130">
        <f t="shared" si="56"/>
        <v>545600</v>
      </c>
      <c r="H1362" s="106"/>
      <c r="I1362" s="111"/>
    </row>
    <row r="1363" spans="1:9" ht="31.5">
      <c r="A1363" s="61"/>
      <c r="B1363" s="30"/>
      <c r="C1363" s="48" t="s">
        <v>40</v>
      </c>
      <c r="D1363" s="37" t="s">
        <v>20</v>
      </c>
      <c r="E1363" s="60">
        <f>6*5</f>
        <v>30</v>
      </c>
      <c r="F1363" s="125">
        <v>498000</v>
      </c>
      <c r="G1363" s="130">
        <f t="shared" si="56"/>
        <v>14940000</v>
      </c>
      <c r="H1363" s="106"/>
      <c r="I1363" s="111"/>
    </row>
    <row r="1364" spans="1:9" ht="18.75">
      <c r="A1364" s="61"/>
      <c r="B1364" s="30"/>
      <c r="C1364" s="48" t="s">
        <v>280</v>
      </c>
      <c r="D1364" s="37" t="s">
        <v>20</v>
      </c>
      <c r="E1364" s="60">
        <f>((6*3.1)*2)+(1*3.1)</f>
        <v>40.300000000000004</v>
      </c>
      <c r="F1364" s="130">
        <v>928000</v>
      </c>
      <c r="G1364" s="130">
        <f t="shared" si="56"/>
        <v>37398400.00000001</v>
      </c>
      <c r="H1364" s="106"/>
      <c r="I1364" s="111"/>
    </row>
    <row r="1365" spans="1:9" ht="18.75">
      <c r="A1365" s="61"/>
      <c r="B1365" s="30"/>
      <c r="C1365" s="48" t="s">
        <v>36</v>
      </c>
      <c r="D1365" s="37" t="s">
        <v>20</v>
      </c>
      <c r="E1365" s="60">
        <f>(7.9*4.9)+(4.9*1.8)+(1.5*2.1)+(5*2.5)</f>
        <v>63.18000000000001</v>
      </c>
      <c r="F1365" s="125">
        <v>125000</v>
      </c>
      <c r="G1365" s="130">
        <f t="shared" si="56"/>
        <v>7897500.000000001</v>
      </c>
      <c r="H1365" s="106"/>
      <c r="I1365" s="111"/>
    </row>
    <row r="1366" spans="1:9" ht="18.75">
      <c r="A1366" s="61"/>
      <c r="B1366" s="30"/>
      <c r="C1366" s="48" t="s">
        <v>21</v>
      </c>
      <c r="D1366" s="37" t="s">
        <v>20</v>
      </c>
      <c r="E1366" s="60">
        <f>(11.4*3)*2</f>
        <v>68.4</v>
      </c>
      <c r="F1366" s="130">
        <v>325000</v>
      </c>
      <c r="G1366" s="130">
        <f t="shared" si="56"/>
        <v>22230000</v>
      </c>
      <c r="H1366" s="106"/>
      <c r="I1366" s="111"/>
    </row>
    <row r="1367" spans="1:9" ht="18.75">
      <c r="A1367" s="61"/>
      <c r="B1367" s="30"/>
      <c r="C1367" s="48" t="s">
        <v>28</v>
      </c>
      <c r="D1367" s="37" t="s">
        <v>20</v>
      </c>
      <c r="E1367" s="60">
        <f>2.8*2</f>
        <v>5.6</v>
      </c>
      <c r="F1367" s="125">
        <v>85000</v>
      </c>
      <c r="G1367" s="130">
        <f t="shared" si="56"/>
        <v>475999.99999999994</v>
      </c>
      <c r="H1367" s="106" t="s">
        <v>187</v>
      </c>
      <c r="I1367" s="111"/>
    </row>
    <row r="1368" spans="1:9" ht="18.75">
      <c r="A1368" s="61"/>
      <c r="B1368" s="30"/>
      <c r="C1368" s="48" t="s">
        <v>27</v>
      </c>
      <c r="D1368" s="37" t="s">
        <v>32</v>
      </c>
      <c r="E1368" s="60">
        <f>(0.4*0.4*3.2)*3</f>
        <v>1.5360000000000005</v>
      </c>
      <c r="F1368" s="130">
        <v>1854000</v>
      </c>
      <c r="G1368" s="130">
        <f t="shared" si="56"/>
        <v>2847744.000000001</v>
      </c>
      <c r="H1368" s="106"/>
      <c r="I1368" s="263"/>
    </row>
    <row r="1369" spans="1:9" ht="31.5">
      <c r="A1369" s="61"/>
      <c r="B1369" s="30"/>
      <c r="C1369" s="48" t="s">
        <v>471</v>
      </c>
      <c r="D1369" s="37" t="s">
        <v>20</v>
      </c>
      <c r="E1369" s="60">
        <f>5*1.1</f>
        <v>5.5</v>
      </c>
      <c r="F1369" s="130">
        <v>736000</v>
      </c>
      <c r="G1369" s="130">
        <f t="shared" si="56"/>
        <v>4048000</v>
      </c>
      <c r="H1369" s="106"/>
      <c r="I1369" s="111"/>
    </row>
    <row r="1370" spans="1:9" ht="15.75">
      <c r="A1370" s="61"/>
      <c r="B1370" s="30"/>
      <c r="C1370" s="48" t="s">
        <v>1090</v>
      </c>
      <c r="D1370" s="37" t="s">
        <v>43</v>
      </c>
      <c r="E1370" s="60">
        <v>1</v>
      </c>
      <c r="F1370" s="130">
        <v>400000</v>
      </c>
      <c r="G1370" s="130">
        <f t="shared" si="56"/>
        <v>400000</v>
      </c>
      <c r="H1370" s="106"/>
      <c r="I1370" s="111"/>
    </row>
    <row r="1371" spans="1:9" ht="18.75">
      <c r="A1371" s="61"/>
      <c r="B1371" s="30"/>
      <c r="C1371" s="48" t="s">
        <v>472</v>
      </c>
      <c r="D1371" s="37" t="s">
        <v>20</v>
      </c>
      <c r="E1371" s="60">
        <v>1</v>
      </c>
      <c r="F1371" s="130">
        <v>6000</v>
      </c>
      <c r="G1371" s="130">
        <f t="shared" si="56"/>
        <v>6000</v>
      </c>
      <c r="H1371" s="106"/>
      <c r="I1371" s="111"/>
    </row>
    <row r="1372" spans="1:9" ht="15.75">
      <c r="A1372" s="61"/>
      <c r="B1372" s="30"/>
      <c r="C1372" s="48" t="s">
        <v>473</v>
      </c>
      <c r="D1372" s="37" t="s">
        <v>43</v>
      </c>
      <c r="E1372" s="60">
        <v>1</v>
      </c>
      <c r="F1372" s="130">
        <v>20000</v>
      </c>
      <c r="G1372" s="130">
        <f t="shared" si="56"/>
        <v>20000</v>
      </c>
      <c r="H1372" s="106"/>
      <c r="I1372" s="111"/>
    </row>
    <row r="1373" spans="1:9" ht="15.75">
      <c r="A1373" s="61"/>
      <c r="B1373" s="30"/>
      <c r="C1373" s="48" t="s">
        <v>839</v>
      </c>
      <c r="D1373" s="37" t="s">
        <v>43</v>
      </c>
      <c r="E1373" s="60">
        <v>2</v>
      </c>
      <c r="F1373" s="130">
        <v>40000</v>
      </c>
      <c r="G1373" s="130">
        <f t="shared" si="56"/>
        <v>80000</v>
      </c>
      <c r="H1373" s="106" t="s">
        <v>187</v>
      </c>
      <c r="I1373" s="111"/>
    </row>
    <row r="1374" spans="1:9" ht="15.75">
      <c r="A1374" s="61"/>
      <c r="B1374" s="69"/>
      <c r="C1374" s="48" t="s">
        <v>1048</v>
      </c>
      <c r="D1374" s="37" t="s">
        <v>43</v>
      </c>
      <c r="E1374" s="60">
        <v>1</v>
      </c>
      <c r="F1374" s="130">
        <v>40000</v>
      </c>
      <c r="G1374" s="130">
        <f t="shared" si="56"/>
        <v>40000</v>
      </c>
      <c r="H1374" s="106"/>
      <c r="I1374" s="111"/>
    </row>
    <row r="1375" spans="1:9" ht="15.75">
      <c r="A1375" s="61"/>
      <c r="B1375" s="69"/>
      <c r="C1375" s="48" t="s">
        <v>477</v>
      </c>
      <c r="D1375" s="37" t="s">
        <v>43</v>
      </c>
      <c r="E1375" s="60">
        <v>1</v>
      </c>
      <c r="F1375" s="130">
        <v>39000</v>
      </c>
      <c r="G1375" s="130">
        <f t="shared" si="56"/>
        <v>39000</v>
      </c>
      <c r="H1375" s="106"/>
      <c r="I1375" s="111"/>
    </row>
    <row r="1376" spans="1:9" ht="15.75">
      <c r="A1376" s="61"/>
      <c r="B1376" s="69"/>
      <c r="C1376" s="48" t="s">
        <v>830</v>
      </c>
      <c r="D1376" s="37" t="s">
        <v>43</v>
      </c>
      <c r="E1376" s="60">
        <v>3</v>
      </c>
      <c r="F1376" s="130">
        <v>20000</v>
      </c>
      <c r="G1376" s="130">
        <f t="shared" si="56"/>
        <v>60000</v>
      </c>
      <c r="H1376" s="106" t="s">
        <v>187</v>
      </c>
      <c r="I1376" s="111"/>
    </row>
    <row r="1377" spans="1:9" ht="15.75">
      <c r="A1377" s="61"/>
      <c r="B1377" s="69"/>
      <c r="C1377" s="48" t="s">
        <v>1124</v>
      </c>
      <c r="D1377" s="37" t="s">
        <v>43</v>
      </c>
      <c r="E1377" s="60">
        <v>1</v>
      </c>
      <c r="F1377" s="130">
        <v>300000</v>
      </c>
      <c r="G1377" s="155">
        <f t="shared" si="56"/>
        <v>300000</v>
      </c>
      <c r="H1377" s="106"/>
      <c r="I1377" s="111"/>
    </row>
    <row r="1378" spans="1:9" s="149" customFormat="1" ht="15.75">
      <c r="A1378" s="145"/>
      <c r="B1378" s="277" t="s">
        <v>5</v>
      </c>
      <c r="C1378" s="146"/>
      <c r="D1378" s="147"/>
      <c r="E1378" s="281"/>
      <c r="F1378" s="148"/>
      <c r="G1378" s="156">
        <f>SUM(G1353:G1377)</f>
        <v>1214045344</v>
      </c>
      <c r="H1378" s="260"/>
      <c r="I1378" s="119"/>
    </row>
    <row r="1379" spans="1:9" ht="31.5">
      <c r="A1379" s="275">
        <v>101</v>
      </c>
      <c r="B1379" s="150" t="s">
        <v>587</v>
      </c>
      <c r="C1379" s="56" t="s">
        <v>730</v>
      </c>
      <c r="D1379" s="37" t="s">
        <v>20</v>
      </c>
      <c r="E1379" s="151">
        <v>581.9</v>
      </c>
      <c r="F1379" s="134"/>
      <c r="G1379" s="134"/>
      <c r="H1379" s="259"/>
      <c r="I1379" s="111"/>
    </row>
    <row r="1380" spans="1:9" ht="15.75">
      <c r="A1380" s="61"/>
      <c r="B1380" s="55" t="s">
        <v>588</v>
      </c>
      <c r="C1380" s="29" t="s">
        <v>195</v>
      </c>
      <c r="D1380" s="37"/>
      <c r="E1380" s="50"/>
      <c r="F1380" s="125"/>
      <c r="G1380" s="125"/>
      <c r="H1380" s="106"/>
      <c r="I1380" s="111"/>
    </row>
    <row r="1381" spans="1:9" ht="63">
      <c r="A1381" s="61"/>
      <c r="B1381" s="30" t="s">
        <v>893</v>
      </c>
      <c r="C1381" s="48" t="s">
        <v>803</v>
      </c>
      <c r="D1381" s="37" t="s">
        <v>20</v>
      </c>
      <c r="E1381" s="50">
        <v>581.9</v>
      </c>
      <c r="F1381" s="125">
        <v>14174000</v>
      </c>
      <c r="G1381" s="125">
        <f>F1381*E1381</f>
        <v>8247850600</v>
      </c>
      <c r="H1381" s="106"/>
      <c r="I1381" s="111"/>
    </row>
    <row r="1382" spans="1:9" ht="63">
      <c r="A1382" s="61"/>
      <c r="B1382" s="30" t="s">
        <v>589</v>
      </c>
      <c r="C1382" s="29" t="s">
        <v>731</v>
      </c>
      <c r="D1382" s="37" t="s">
        <v>20</v>
      </c>
      <c r="E1382" s="50">
        <f>4.7*9</f>
        <v>42.300000000000004</v>
      </c>
      <c r="F1382" s="125">
        <f>3230000</f>
        <v>3230000</v>
      </c>
      <c r="G1382" s="130">
        <f>F1382*E1382</f>
        <v>136629000</v>
      </c>
      <c r="H1382" s="106"/>
      <c r="I1382" s="111"/>
    </row>
    <row r="1383" spans="1:9" ht="21" customHeight="1">
      <c r="A1383" s="61"/>
      <c r="B1383" s="30"/>
      <c r="C1383" s="48" t="s">
        <v>141</v>
      </c>
      <c r="D1383" s="37" t="s">
        <v>189</v>
      </c>
      <c r="E1383" s="60">
        <v>1</v>
      </c>
      <c r="F1383" s="130">
        <f>2500000+(30*100000)</f>
        <v>5500000</v>
      </c>
      <c r="G1383" s="130">
        <f aca="true" t="shared" si="57" ref="G1383:G1408">F1383*E1383</f>
        <v>5500000</v>
      </c>
      <c r="H1383" s="106"/>
      <c r="I1383" s="111"/>
    </row>
    <row r="1384" spans="1:9" ht="15.75">
      <c r="A1384" s="61"/>
      <c r="B1384" s="30"/>
      <c r="C1384" s="48" t="s">
        <v>590</v>
      </c>
      <c r="D1384" s="37" t="s">
        <v>42</v>
      </c>
      <c r="E1384" s="60">
        <v>1</v>
      </c>
      <c r="F1384" s="130">
        <v>820000</v>
      </c>
      <c r="G1384" s="130">
        <f t="shared" si="57"/>
        <v>820000</v>
      </c>
      <c r="H1384" s="106" t="s">
        <v>187</v>
      </c>
      <c r="I1384" s="111"/>
    </row>
    <row r="1385" spans="1:9" ht="31.5">
      <c r="A1385" s="61"/>
      <c r="B1385" s="30"/>
      <c r="C1385" s="48" t="s">
        <v>591</v>
      </c>
      <c r="D1385" s="37" t="s">
        <v>20</v>
      </c>
      <c r="E1385" s="60">
        <f>8.3*3.8</f>
        <v>31.540000000000003</v>
      </c>
      <c r="F1385" s="130">
        <v>150000</v>
      </c>
      <c r="G1385" s="130">
        <f t="shared" si="57"/>
        <v>4731000</v>
      </c>
      <c r="H1385" s="106" t="s">
        <v>187</v>
      </c>
      <c r="I1385" s="111"/>
    </row>
    <row r="1386" spans="1:9" ht="18.75">
      <c r="A1386" s="61"/>
      <c r="B1386" s="30"/>
      <c r="C1386" s="48" t="s">
        <v>25</v>
      </c>
      <c r="D1386" s="37" t="s">
        <v>32</v>
      </c>
      <c r="E1386" s="60">
        <f>((8.7*0.3*0.1)*5)+((4.3*0.5*0.1)*6)+((1.9+1.8+1.7)*0.5*0.1)+(7.7*3.5*0.1)</f>
        <v>5.5600000000000005</v>
      </c>
      <c r="F1386" s="130">
        <v>1250000</v>
      </c>
      <c r="G1386" s="130">
        <f t="shared" si="57"/>
        <v>6950000.000000001</v>
      </c>
      <c r="H1386" s="106"/>
      <c r="I1386" s="111"/>
    </row>
    <row r="1387" spans="1:9" ht="18.75">
      <c r="A1387" s="61"/>
      <c r="B1387" s="30"/>
      <c r="C1387" s="48" t="s">
        <v>26</v>
      </c>
      <c r="D1387" s="37" t="s">
        <v>20</v>
      </c>
      <c r="E1387" s="60">
        <f>7.7*3.5*2</f>
        <v>53.9</v>
      </c>
      <c r="F1387" s="125">
        <v>82000</v>
      </c>
      <c r="G1387" s="130">
        <f t="shared" si="57"/>
        <v>4419800</v>
      </c>
      <c r="H1387" s="106"/>
      <c r="I1387" s="111"/>
    </row>
    <row r="1388" spans="1:9" ht="18.75">
      <c r="A1388" s="61"/>
      <c r="B1388" s="30"/>
      <c r="C1388" s="48" t="s">
        <v>36</v>
      </c>
      <c r="D1388" s="37" t="s">
        <v>20</v>
      </c>
      <c r="E1388" s="60">
        <f>(6.9*2.8)+(1*21.4)+(5.2*3.4)+(3.8*2.5)+(3*1.6)+(5.9*1.5)</f>
        <v>81.55000000000001</v>
      </c>
      <c r="F1388" s="125">
        <v>125000</v>
      </c>
      <c r="G1388" s="130">
        <f t="shared" si="57"/>
        <v>10193750.000000002</v>
      </c>
      <c r="H1388" s="106"/>
      <c r="I1388" s="111"/>
    </row>
    <row r="1389" spans="1:9" ht="31.5">
      <c r="A1389" s="61"/>
      <c r="B1389" s="30"/>
      <c r="C1389" s="48" t="s">
        <v>592</v>
      </c>
      <c r="D1389" s="37" t="s">
        <v>20</v>
      </c>
      <c r="E1389" s="60">
        <f>21.4*3.5</f>
        <v>74.89999999999999</v>
      </c>
      <c r="F1389" s="125">
        <v>325000</v>
      </c>
      <c r="G1389" s="130">
        <f t="shared" si="57"/>
        <v>24342499.999999996</v>
      </c>
      <c r="H1389" s="106"/>
      <c r="I1389" s="111"/>
    </row>
    <row r="1390" spans="1:9" ht="31.5">
      <c r="A1390" s="61"/>
      <c r="B1390" s="30"/>
      <c r="C1390" s="48" t="s">
        <v>593</v>
      </c>
      <c r="D1390" s="37" t="s">
        <v>20</v>
      </c>
      <c r="E1390" s="60">
        <f>(25.4+19+3.78+3.53+13.69+4.61)*3.5</f>
        <v>245.03500000000003</v>
      </c>
      <c r="F1390" s="125">
        <v>928000</v>
      </c>
      <c r="G1390" s="130">
        <f t="shared" si="57"/>
        <v>227392480.00000003</v>
      </c>
      <c r="H1390" s="106"/>
      <c r="I1390" s="111"/>
    </row>
    <row r="1391" spans="1:9" ht="25.5" customHeight="1">
      <c r="A1391" s="61"/>
      <c r="B1391" s="30"/>
      <c r="C1391" s="48" t="s">
        <v>887</v>
      </c>
      <c r="D1391" s="37" t="s">
        <v>210</v>
      </c>
      <c r="E1391" s="60">
        <f>125+130</f>
        <v>255</v>
      </c>
      <c r="F1391" s="130">
        <v>19140</v>
      </c>
      <c r="G1391" s="130">
        <f t="shared" si="57"/>
        <v>4880700</v>
      </c>
      <c r="H1391" s="106"/>
      <c r="I1391" s="111"/>
    </row>
    <row r="1392" spans="1:9" ht="31.5">
      <c r="A1392" s="61"/>
      <c r="B1392" s="30"/>
      <c r="C1392" s="48" t="s">
        <v>594</v>
      </c>
      <c r="D1392" s="37" t="s">
        <v>20</v>
      </c>
      <c r="E1392" s="60">
        <v>11</v>
      </c>
      <c r="F1392" s="125">
        <v>410000</v>
      </c>
      <c r="G1392" s="130">
        <f t="shared" si="57"/>
        <v>4510000</v>
      </c>
      <c r="H1392" s="106"/>
      <c r="I1392" s="111"/>
    </row>
    <row r="1393" spans="1:9" ht="31.5">
      <c r="A1393" s="61"/>
      <c r="B1393" s="30"/>
      <c r="C1393" s="48" t="s">
        <v>595</v>
      </c>
      <c r="D1393" s="37" t="s">
        <v>20</v>
      </c>
      <c r="E1393" s="60">
        <f>2*8.8</f>
        <v>17.6</v>
      </c>
      <c r="F1393" s="125">
        <v>498000</v>
      </c>
      <c r="G1393" s="130">
        <f t="shared" si="57"/>
        <v>8764800</v>
      </c>
      <c r="H1393" s="106"/>
      <c r="I1393" s="111"/>
    </row>
    <row r="1394" spans="1:9" ht="18.75">
      <c r="A1394" s="61"/>
      <c r="B1394" s="30"/>
      <c r="C1394" s="48" t="s">
        <v>263</v>
      </c>
      <c r="D1394" s="37" t="s">
        <v>20</v>
      </c>
      <c r="E1394" s="60">
        <f>9.4*1.4</f>
        <v>13.16</v>
      </c>
      <c r="F1394" s="125">
        <v>125000</v>
      </c>
      <c r="G1394" s="130">
        <f t="shared" si="57"/>
        <v>1645000</v>
      </c>
      <c r="H1394" s="106"/>
      <c r="I1394" s="111"/>
    </row>
    <row r="1395" spans="1:9" ht="18.75">
      <c r="A1395" s="61"/>
      <c r="B1395" s="30"/>
      <c r="C1395" s="48" t="s">
        <v>596</v>
      </c>
      <c r="D1395" s="37" t="s">
        <v>20</v>
      </c>
      <c r="E1395" s="60">
        <f>9.4*3.3</f>
        <v>31.02</v>
      </c>
      <c r="F1395" s="125">
        <v>240000</v>
      </c>
      <c r="G1395" s="130">
        <f t="shared" si="57"/>
        <v>7444800</v>
      </c>
      <c r="H1395" s="106"/>
      <c r="I1395" s="111"/>
    </row>
    <row r="1396" spans="1:9" ht="15.75">
      <c r="A1396" s="61"/>
      <c r="B1396" s="30"/>
      <c r="C1396" s="48" t="s">
        <v>1000</v>
      </c>
      <c r="D1396" s="37" t="s">
        <v>43</v>
      </c>
      <c r="E1396" s="60">
        <v>16</v>
      </c>
      <c r="F1396" s="125">
        <v>600000</v>
      </c>
      <c r="G1396" s="130">
        <f t="shared" si="57"/>
        <v>9600000</v>
      </c>
      <c r="H1396" s="106"/>
      <c r="I1396" s="111"/>
    </row>
    <row r="1397" spans="1:9" ht="15.75">
      <c r="A1397" s="61"/>
      <c r="B1397" s="30"/>
      <c r="C1397" s="48" t="s">
        <v>1041</v>
      </c>
      <c r="D1397" s="37" t="s">
        <v>43</v>
      </c>
      <c r="E1397" s="60">
        <v>7</v>
      </c>
      <c r="F1397" s="125">
        <v>250000</v>
      </c>
      <c r="G1397" s="130">
        <f t="shared" si="57"/>
        <v>1750000</v>
      </c>
      <c r="H1397" s="106"/>
      <c r="I1397" s="111"/>
    </row>
    <row r="1398" spans="1:9" ht="15.75">
      <c r="A1398" s="61"/>
      <c r="B1398" s="30"/>
      <c r="C1398" s="48" t="s">
        <v>1086</v>
      </c>
      <c r="D1398" s="37" t="s">
        <v>43</v>
      </c>
      <c r="E1398" s="60">
        <v>9</v>
      </c>
      <c r="F1398" s="130">
        <v>2500000</v>
      </c>
      <c r="G1398" s="130">
        <f t="shared" si="57"/>
        <v>22500000</v>
      </c>
      <c r="H1398" s="106"/>
      <c r="I1398" s="111"/>
    </row>
    <row r="1399" spans="1:9" ht="15.75">
      <c r="A1399" s="61"/>
      <c r="B1399" s="30"/>
      <c r="C1399" s="48" t="s">
        <v>302</v>
      </c>
      <c r="D1399" s="37" t="s">
        <v>145</v>
      </c>
      <c r="E1399" s="60">
        <v>3</v>
      </c>
      <c r="F1399" s="125">
        <v>240000</v>
      </c>
      <c r="G1399" s="130">
        <f t="shared" si="57"/>
        <v>720000</v>
      </c>
      <c r="H1399" s="106"/>
      <c r="I1399" s="111"/>
    </row>
    <row r="1400" spans="1:9" ht="15.75">
      <c r="A1400" s="61"/>
      <c r="B1400" s="30"/>
      <c r="C1400" s="48" t="s">
        <v>1125</v>
      </c>
      <c r="D1400" s="37" t="s">
        <v>43</v>
      </c>
      <c r="E1400" s="60">
        <v>14</v>
      </c>
      <c r="F1400" s="130">
        <v>1000000</v>
      </c>
      <c r="G1400" s="130">
        <f t="shared" si="57"/>
        <v>14000000</v>
      </c>
      <c r="H1400" s="106"/>
      <c r="I1400" s="111"/>
    </row>
    <row r="1401" spans="1:9" ht="15.75">
      <c r="A1401" s="61"/>
      <c r="B1401" s="30"/>
      <c r="C1401" s="48" t="s">
        <v>1126</v>
      </c>
      <c r="D1401" s="37" t="s">
        <v>43</v>
      </c>
      <c r="E1401" s="60">
        <v>2</v>
      </c>
      <c r="F1401" s="125">
        <v>820000</v>
      </c>
      <c r="G1401" s="130">
        <f t="shared" si="57"/>
        <v>1640000</v>
      </c>
      <c r="H1401" s="106"/>
      <c r="I1401" s="111"/>
    </row>
    <row r="1402" spans="1:9" ht="15.75">
      <c r="A1402" s="61"/>
      <c r="B1402" s="30"/>
      <c r="C1402" s="48" t="s">
        <v>1127</v>
      </c>
      <c r="D1402" s="37" t="s">
        <v>43</v>
      </c>
      <c r="E1402" s="60">
        <v>1</v>
      </c>
      <c r="F1402" s="125">
        <v>682000</v>
      </c>
      <c r="G1402" s="130">
        <f t="shared" si="57"/>
        <v>682000</v>
      </c>
      <c r="H1402" s="106"/>
      <c r="I1402" s="111"/>
    </row>
    <row r="1403" spans="1:9" ht="15.75">
      <c r="A1403" s="61"/>
      <c r="B1403" s="30"/>
      <c r="C1403" s="48" t="s">
        <v>1128</v>
      </c>
      <c r="D1403" s="37" t="s">
        <v>43</v>
      </c>
      <c r="E1403" s="60">
        <v>2</v>
      </c>
      <c r="F1403" s="125">
        <v>1000000</v>
      </c>
      <c r="G1403" s="130">
        <f t="shared" si="57"/>
        <v>2000000</v>
      </c>
      <c r="H1403" s="106"/>
      <c r="I1403" s="111"/>
    </row>
    <row r="1404" spans="1:9" ht="15.75">
      <c r="A1404" s="61"/>
      <c r="B1404" s="30"/>
      <c r="C1404" s="48" t="s">
        <v>1129</v>
      </c>
      <c r="D1404" s="37" t="s">
        <v>43</v>
      </c>
      <c r="E1404" s="60">
        <v>2</v>
      </c>
      <c r="F1404" s="125">
        <v>890000</v>
      </c>
      <c r="G1404" s="130">
        <f t="shared" si="57"/>
        <v>1780000</v>
      </c>
      <c r="H1404" s="106"/>
      <c r="I1404" s="111"/>
    </row>
    <row r="1405" spans="1:9" ht="15.75">
      <c r="A1405" s="61"/>
      <c r="B1405" s="30"/>
      <c r="C1405" s="48" t="s">
        <v>1130</v>
      </c>
      <c r="D1405" s="37" t="s">
        <v>43</v>
      </c>
      <c r="E1405" s="60">
        <v>2</v>
      </c>
      <c r="F1405" s="125">
        <v>800000</v>
      </c>
      <c r="G1405" s="130">
        <f t="shared" si="57"/>
        <v>1600000</v>
      </c>
      <c r="H1405" s="106"/>
      <c r="I1405" s="111"/>
    </row>
    <row r="1406" spans="1:9" ht="15.75">
      <c r="A1406" s="61"/>
      <c r="B1406" s="30"/>
      <c r="C1406" s="48" t="s">
        <v>1131</v>
      </c>
      <c r="D1406" s="37" t="s">
        <v>43</v>
      </c>
      <c r="E1406" s="60">
        <v>1</v>
      </c>
      <c r="F1406" s="125">
        <v>200000</v>
      </c>
      <c r="G1406" s="130">
        <f t="shared" si="57"/>
        <v>200000</v>
      </c>
      <c r="H1406" s="106"/>
      <c r="I1406" s="111"/>
    </row>
    <row r="1407" spans="1:9" ht="15.75">
      <c r="A1407" s="61"/>
      <c r="B1407" s="30"/>
      <c r="C1407" s="48" t="s">
        <v>1132</v>
      </c>
      <c r="D1407" s="37" t="s">
        <v>43</v>
      </c>
      <c r="E1407" s="60">
        <v>4</v>
      </c>
      <c r="F1407" s="125">
        <v>80000</v>
      </c>
      <c r="G1407" s="130">
        <f t="shared" si="57"/>
        <v>320000</v>
      </c>
      <c r="H1407" s="106"/>
      <c r="I1407" s="111"/>
    </row>
    <row r="1408" spans="1:9" ht="15.75">
      <c r="A1408" s="61"/>
      <c r="B1408" s="30"/>
      <c r="C1408" s="48" t="s">
        <v>1133</v>
      </c>
      <c r="D1408" s="37" t="s">
        <v>43</v>
      </c>
      <c r="E1408" s="60">
        <v>2</v>
      </c>
      <c r="F1408" s="125">
        <v>200000</v>
      </c>
      <c r="G1408" s="130">
        <f t="shared" si="57"/>
        <v>400000</v>
      </c>
      <c r="H1408" s="106"/>
      <c r="I1408" s="111"/>
    </row>
    <row r="1409" spans="1:9" s="149" customFormat="1" ht="15.75">
      <c r="A1409" s="145"/>
      <c r="B1409" s="277" t="s">
        <v>5</v>
      </c>
      <c r="C1409" s="146"/>
      <c r="D1409" s="147"/>
      <c r="E1409" s="281"/>
      <c r="F1409" s="148"/>
      <c r="G1409" s="156">
        <f>SUM(G1379:G1408)</f>
        <v>8753266430</v>
      </c>
      <c r="H1409" s="260"/>
      <c r="I1409" s="119"/>
    </row>
    <row r="1410" spans="1:9" ht="31.5">
      <c r="A1410" s="275">
        <v>102</v>
      </c>
      <c r="B1410" s="150" t="s">
        <v>597</v>
      </c>
      <c r="C1410" s="56" t="s">
        <v>735</v>
      </c>
      <c r="D1410" s="37" t="s">
        <v>20</v>
      </c>
      <c r="E1410" s="151">
        <v>105.1</v>
      </c>
      <c r="F1410" s="134"/>
      <c r="G1410" s="134"/>
      <c r="H1410" s="276"/>
      <c r="I1410" s="111"/>
    </row>
    <row r="1411" spans="1:9" ht="15.75">
      <c r="A1411" s="140"/>
      <c r="B1411" s="55" t="s">
        <v>598</v>
      </c>
      <c r="C1411" s="29" t="s">
        <v>195</v>
      </c>
      <c r="D1411" s="37"/>
      <c r="E1411" s="50"/>
      <c r="F1411" s="125"/>
      <c r="G1411" s="130"/>
      <c r="H1411" s="106"/>
      <c r="I1411" s="111"/>
    </row>
    <row r="1412" spans="1:9" ht="100.5" customHeight="1">
      <c r="A1412" s="61"/>
      <c r="B1412" s="30" t="s">
        <v>996</v>
      </c>
      <c r="C1412" s="48" t="s">
        <v>789</v>
      </c>
      <c r="D1412" s="37" t="s">
        <v>20</v>
      </c>
      <c r="E1412" s="60">
        <v>79.3</v>
      </c>
      <c r="F1412" s="130">
        <v>5670000</v>
      </c>
      <c r="G1412" s="130">
        <f>F1412*E1412</f>
        <v>449631000</v>
      </c>
      <c r="H1412" s="106"/>
      <c r="I1412" s="111"/>
    </row>
    <row r="1413" spans="1:9" ht="128.25" customHeight="1">
      <c r="A1413" s="61"/>
      <c r="B1413" s="30" t="s">
        <v>599</v>
      </c>
      <c r="C1413" s="48" t="s">
        <v>940</v>
      </c>
      <c r="D1413" s="37" t="s">
        <v>20</v>
      </c>
      <c r="E1413" s="60">
        <v>25.8</v>
      </c>
      <c r="F1413" s="125">
        <v>4420000</v>
      </c>
      <c r="G1413" s="130">
        <f>F1413*E1413</f>
        <v>114036000</v>
      </c>
      <c r="H1413" s="106"/>
      <c r="I1413" s="111"/>
    </row>
    <row r="1414" spans="1:9" ht="15.75">
      <c r="A1414" s="140"/>
      <c r="B1414" s="141"/>
      <c r="C1414" s="29" t="s">
        <v>600</v>
      </c>
      <c r="D1414" s="271"/>
      <c r="E1414" s="142"/>
      <c r="F1414" s="143"/>
      <c r="G1414" s="143"/>
      <c r="H1414" s="144"/>
      <c r="I1414" s="111"/>
    </row>
    <row r="1415" spans="1:9" s="149" customFormat="1" ht="15.75">
      <c r="A1415" s="145"/>
      <c r="B1415" s="277" t="s">
        <v>5</v>
      </c>
      <c r="C1415" s="146"/>
      <c r="D1415" s="147"/>
      <c r="E1415" s="281"/>
      <c r="F1415" s="148"/>
      <c r="G1415" s="156">
        <f>SUM(G1410:G1413)</f>
        <v>563667000</v>
      </c>
      <c r="H1415" s="260"/>
      <c r="I1415" s="119"/>
    </row>
    <row r="1416" spans="1:9" s="149" customFormat="1" ht="35.25" customHeight="1">
      <c r="A1416" s="275">
        <v>103</v>
      </c>
      <c r="B1416" s="150" t="s">
        <v>601</v>
      </c>
      <c r="C1416" s="56" t="s">
        <v>736</v>
      </c>
      <c r="D1416" s="37" t="s">
        <v>20</v>
      </c>
      <c r="E1416" s="151">
        <v>75.7</v>
      </c>
      <c r="F1416" s="134"/>
      <c r="G1416" s="134"/>
      <c r="H1416" s="276"/>
      <c r="I1416" s="119"/>
    </row>
    <row r="1417" spans="1:9" s="149" customFormat="1" ht="36.75" customHeight="1">
      <c r="A1417" s="61"/>
      <c r="B1417" s="291" t="s">
        <v>1186</v>
      </c>
      <c r="C1417" s="29" t="s">
        <v>195</v>
      </c>
      <c r="D1417" s="37"/>
      <c r="E1417" s="50"/>
      <c r="F1417" s="125"/>
      <c r="G1417" s="130"/>
      <c r="H1417" s="106"/>
      <c r="I1417" s="119"/>
    </row>
    <row r="1418" spans="1:9" s="149" customFormat="1" ht="98.25" customHeight="1">
      <c r="A1418" s="61"/>
      <c r="B1418" s="30" t="s">
        <v>602</v>
      </c>
      <c r="C1418" s="48" t="s">
        <v>785</v>
      </c>
      <c r="D1418" s="37" t="s">
        <v>20</v>
      </c>
      <c r="E1418" s="50">
        <v>46.6</v>
      </c>
      <c r="F1418" s="125">
        <v>5003000</v>
      </c>
      <c r="G1418" s="130">
        <f>F1418*E1418</f>
        <v>233139800</v>
      </c>
      <c r="H1418" s="106"/>
      <c r="I1418" s="119"/>
    </row>
    <row r="1419" spans="1:9" s="149" customFormat="1" ht="123.75" customHeight="1">
      <c r="A1419" s="61"/>
      <c r="B1419" s="30"/>
      <c r="C1419" s="48" t="s">
        <v>946</v>
      </c>
      <c r="D1419" s="37" t="s">
        <v>20</v>
      </c>
      <c r="E1419" s="50">
        <v>29.1</v>
      </c>
      <c r="F1419" s="125">
        <v>3953000</v>
      </c>
      <c r="G1419" s="130">
        <f>F1419*E1419</f>
        <v>115032300</v>
      </c>
      <c r="H1419" s="106"/>
      <c r="I1419" s="119"/>
    </row>
    <row r="1420" spans="1:9" s="149" customFormat="1" ht="42" customHeight="1">
      <c r="A1420" s="61"/>
      <c r="B1420" s="30"/>
      <c r="C1420" s="29" t="s">
        <v>312</v>
      </c>
      <c r="D1420" s="37" t="s">
        <v>20</v>
      </c>
      <c r="E1420" s="50">
        <f>6*1.8</f>
        <v>10.8</v>
      </c>
      <c r="F1420" s="125">
        <v>325000</v>
      </c>
      <c r="G1420" s="130">
        <f>F1420*E1420</f>
        <v>3510000</v>
      </c>
      <c r="H1420" s="106"/>
      <c r="I1420" s="119"/>
    </row>
    <row r="1421" spans="1:9" s="149" customFormat="1" ht="18" customHeight="1">
      <c r="A1421" s="61"/>
      <c r="B1421" s="30"/>
      <c r="C1421" s="48" t="s">
        <v>997</v>
      </c>
      <c r="D1421" s="37" t="s">
        <v>43</v>
      </c>
      <c r="E1421" s="60">
        <v>1</v>
      </c>
      <c r="F1421" s="130">
        <v>682000</v>
      </c>
      <c r="G1421" s="130">
        <f aca="true" t="shared" si="58" ref="G1421:G1429">F1421*E1421</f>
        <v>682000</v>
      </c>
      <c r="H1421" s="106"/>
      <c r="I1421" s="119"/>
    </row>
    <row r="1422" spans="1:9" s="149" customFormat="1" ht="18" customHeight="1">
      <c r="A1422" s="61"/>
      <c r="B1422" s="30"/>
      <c r="C1422" s="48" t="s">
        <v>998</v>
      </c>
      <c r="D1422" s="37" t="s">
        <v>43</v>
      </c>
      <c r="E1422" s="60">
        <v>2</v>
      </c>
      <c r="F1422" s="130">
        <v>150000</v>
      </c>
      <c r="G1422" s="130">
        <f t="shared" si="58"/>
        <v>300000</v>
      </c>
      <c r="H1422" s="106"/>
      <c r="I1422" s="119"/>
    </row>
    <row r="1423" spans="1:9" s="149" customFormat="1" ht="18" customHeight="1">
      <c r="A1423" s="61"/>
      <c r="B1423" s="30"/>
      <c r="C1423" s="48" t="s">
        <v>999</v>
      </c>
      <c r="D1423" s="37" t="s">
        <v>43</v>
      </c>
      <c r="E1423" s="60">
        <v>1</v>
      </c>
      <c r="F1423" s="130">
        <v>180000</v>
      </c>
      <c r="G1423" s="130">
        <f t="shared" si="58"/>
        <v>180000</v>
      </c>
      <c r="H1423" s="106"/>
      <c r="I1423" s="119"/>
    </row>
    <row r="1424" spans="1:9" s="149" customFormat="1" ht="18" customHeight="1">
      <c r="A1424" s="61"/>
      <c r="B1424" s="30"/>
      <c r="C1424" s="48" t="s">
        <v>1001</v>
      </c>
      <c r="D1424" s="37" t="s">
        <v>145</v>
      </c>
      <c r="E1424" s="60">
        <v>1</v>
      </c>
      <c r="F1424" s="130">
        <v>160000</v>
      </c>
      <c r="G1424" s="130">
        <f t="shared" si="58"/>
        <v>160000</v>
      </c>
      <c r="H1424" s="106"/>
      <c r="I1424" s="119"/>
    </row>
    <row r="1425" spans="1:9" s="149" customFormat="1" ht="18" customHeight="1">
      <c r="A1425" s="61"/>
      <c r="B1425" s="30"/>
      <c r="C1425" s="48" t="s">
        <v>1000</v>
      </c>
      <c r="D1425" s="37" t="s">
        <v>43</v>
      </c>
      <c r="E1425" s="60">
        <v>1</v>
      </c>
      <c r="F1425" s="130">
        <v>600000</v>
      </c>
      <c r="G1425" s="130">
        <f t="shared" si="58"/>
        <v>600000</v>
      </c>
      <c r="H1425" s="106"/>
      <c r="I1425" s="119"/>
    </row>
    <row r="1426" spans="1:9" s="149" customFormat="1" ht="18" customHeight="1">
      <c r="A1426" s="61"/>
      <c r="B1426" s="30"/>
      <c r="C1426" s="48" t="s">
        <v>425</v>
      </c>
      <c r="D1426" s="37" t="s">
        <v>20</v>
      </c>
      <c r="E1426" s="60">
        <v>20</v>
      </c>
      <c r="F1426" s="130">
        <v>6000</v>
      </c>
      <c r="G1426" s="130">
        <f t="shared" si="58"/>
        <v>120000</v>
      </c>
      <c r="H1426" s="106"/>
      <c r="I1426" s="119"/>
    </row>
    <row r="1427" spans="1:9" s="149" customFormat="1" ht="18" customHeight="1">
      <c r="A1427" s="61"/>
      <c r="B1427" s="30"/>
      <c r="C1427" s="48" t="s">
        <v>1002</v>
      </c>
      <c r="D1427" s="37" t="s">
        <v>43</v>
      </c>
      <c r="E1427" s="60">
        <v>3</v>
      </c>
      <c r="F1427" s="130">
        <v>200000</v>
      </c>
      <c r="G1427" s="130">
        <f t="shared" si="58"/>
        <v>600000</v>
      </c>
      <c r="H1427" s="106"/>
      <c r="I1427" s="119"/>
    </row>
    <row r="1428" spans="1:9" s="149" customFormat="1" ht="18" customHeight="1">
      <c r="A1428" s="61"/>
      <c r="B1428" s="30"/>
      <c r="C1428" s="48" t="s">
        <v>1003</v>
      </c>
      <c r="D1428" s="37" t="s">
        <v>43</v>
      </c>
      <c r="E1428" s="60">
        <v>1</v>
      </c>
      <c r="F1428" s="130">
        <v>300000</v>
      </c>
      <c r="G1428" s="130">
        <f t="shared" si="58"/>
        <v>300000</v>
      </c>
      <c r="H1428" s="106"/>
      <c r="I1428" s="119"/>
    </row>
    <row r="1429" spans="1:9" s="149" customFormat="1" ht="18" customHeight="1">
      <c r="A1429" s="140"/>
      <c r="B1429" s="141"/>
      <c r="C1429" s="183" t="s">
        <v>177</v>
      </c>
      <c r="D1429" s="37" t="s">
        <v>20</v>
      </c>
      <c r="E1429" s="142">
        <v>1</v>
      </c>
      <c r="F1429" s="143">
        <v>6000</v>
      </c>
      <c r="G1429" s="130">
        <f t="shared" si="58"/>
        <v>6000</v>
      </c>
      <c r="H1429" s="144"/>
      <c r="I1429" s="119"/>
    </row>
    <row r="1430" spans="1:9" s="149" customFormat="1" ht="19.5" customHeight="1">
      <c r="A1430" s="145"/>
      <c r="B1430" s="277" t="s">
        <v>5</v>
      </c>
      <c r="C1430" s="146"/>
      <c r="D1430" s="147"/>
      <c r="E1430" s="281"/>
      <c r="F1430" s="148"/>
      <c r="G1430" s="156">
        <f>SUM(G1416:G1429)</f>
        <v>354630100</v>
      </c>
      <c r="H1430" s="260"/>
      <c r="I1430" s="119"/>
    </row>
    <row r="1431" spans="1:9" s="149" customFormat="1" ht="31.5">
      <c r="A1431" s="275">
        <v>104</v>
      </c>
      <c r="B1431" s="150" t="s">
        <v>737</v>
      </c>
      <c r="C1431" s="56" t="s">
        <v>739</v>
      </c>
      <c r="D1431" s="37" t="s">
        <v>20</v>
      </c>
      <c r="E1431" s="151">
        <v>63.5</v>
      </c>
      <c r="F1431" s="134"/>
      <c r="G1431" s="134"/>
      <c r="H1431" s="276"/>
      <c r="I1431" s="119"/>
    </row>
    <row r="1432" spans="1:9" s="149" customFormat="1" ht="64.5" customHeight="1">
      <c r="A1432" s="61"/>
      <c r="B1432" s="30" t="s">
        <v>1004</v>
      </c>
      <c r="C1432" s="29" t="s">
        <v>195</v>
      </c>
      <c r="D1432" s="37"/>
      <c r="E1432" s="50"/>
      <c r="F1432" s="125"/>
      <c r="G1432" s="130"/>
      <c r="H1432" s="106"/>
      <c r="I1432" s="119"/>
    </row>
    <row r="1433" spans="1:9" s="149" customFormat="1" ht="90" customHeight="1">
      <c r="A1433" s="61"/>
      <c r="B1433" s="30" t="s">
        <v>738</v>
      </c>
      <c r="C1433" s="48" t="s">
        <v>787</v>
      </c>
      <c r="D1433" s="37" t="s">
        <v>20</v>
      </c>
      <c r="E1433" s="50">
        <v>23</v>
      </c>
      <c r="F1433" s="125">
        <v>5003000</v>
      </c>
      <c r="G1433" s="130">
        <f>F1433*E1433</f>
        <v>115069000</v>
      </c>
      <c r="H1433" s="106"/>
      <c r="I1433" s="119"/>
    </row>
    <row r="1434" spans="1:9" s="149" customFormat="1" ht="111.75" customHeight="1">
      <c r="A1434" s="61"/>
      <c r="B1434" s="30"/>
      <c r="C1434" s="48" t="s">
        <v>945</v>
      </c>
      <c r="D1434" s="37" t="s">
        <v>20</v>
      </c>
      <c r="E1434" s="50">
        <v>40.5</v>
      </c>
      <c r="F1434" s="125">
        <v>3953000</v>
      </c>
      <c r="G1434" s="130">
        <f>F1434*E1434</f>
        <v>160096500</v>
      </c>
      <c r="H1434" s="106"/>
      <c r="I1434" s="119"/>
    </row>
    <row r="1435" spans="1:9" s="149" customFormat="1" ht="19.5" customHeight="1">
      <c r="A1435" s="61"/>
      <c r="B1435" s="30"/>
      <c r="C1435" s="29" t="s">
        <v>28</v>
      </c>
      <c r="D1435" s="37" t="s">
        <v>20</v>
      </c>
      <c r="E1435" s="50">
        <f>2*2.5</f>
        <v>5</v>
      </c>
      <c r="F1435" s="125">
        <v>85000</v>
      </c>
      <c r="G1435" s="130">
        <f>E1435*F1435</f>
        <v>425000</v>
      </c>
      <c r="H1435" s="48" t="s">
        <v>187</v>
      </c>
      <c r="I1435" s="119"/>
    </row>
    <row r="1436" spans="1:9" s="149" customFormat="1" ht="19.5" customHeight="1">
      <c r="A1436" s="61"/>
      <c r="B1436" s="30"/>
      <c r="C1436" s="29" t="s">
        <v>27</v>
      </c>
      <c r="D1436" s="37" t="s">
        <v>927</v>
      </c>
      <c r="E1436" s="50">
        <f>(0.3*0.3*2.3)*2</f>
        <v>0.414</v>
      </c>
      <c r="F1436" s="125">
        <v>1854000</v>
      </c>
      <c r="G1436" s="130">
        <f>E1436*F1436</f>
        <v>767556</v>
      </c>
      <c r="H1436" s="106"/>
      <c r="I1436" s="119"/>
    </row>
    <row r="1437" spans="1:9" s="149" customFormat="1" ht="36" customHeight="1">
      <c r="A1437" s="61"/>
      <c r="B1437" s="30"/>
      <c r="C1437" s="29" t="s">
        <v>312</v>
      </c>
      <c r="D1437" s="37" t="s">
        <v>20</v>
      </c>
      <c r="E1437" s="50">
        <f>(3.9+8.25)*1.8</f>
        <v>21.87</v>
      </c>
      <c r="F1437" s="125">
        <v>325000</v>
      </c>
      <c r="G1437" s="130">
        <f>E1437*F1437</f>
        <v>7107750</v>
      </c>
      <c r="H1437" s="106"/>
      <c r="I1437" s="119"/>
    </row>
    <row r="1438" spans="1:9" s="149" customFormat="1" ht="19.5" customHeight="1">
      <c r="A1438" s="61"/>
      <c r="B1438" s="30"/>
      <c r="C1438" s="29" t="s">
        <v>25</v>
      </c>
      <c r="D1438" s="37" t="s">
        <v>927</v>
      </c>
      <c r="E1438" s="50">
        <f>2.5*7*0.2</f>
        <v>3.5</v>
      </c>
      <c r="F1438" s="125">
        <f>1250000</f>
        <v>1250000</v>
      </c>
      <c r="G1438" s="130">
        <f>F1438*E1438</f>
        <v>4375000</v>
      </c>
      <c r="H1438" s="106"/>
      <c r="I1438" s="119"/>
    </row>
    <row r="1439" spans="1:9" s="149" customFormat="1" ht="19.5" customHeight="1">
      <c r="A1439" s="61"/>
      <c r="B1439" s="30"/>
      <c r="C1439" s="29" t="s">
        <v>928</v>
      </c>
      <c r="D1439" s="37" t="s">
        <v>43</v>
      </c>
      <c r="E1439" s="50">
        <v>2</v>
      </c>
      <c r="F1439" s="125">
        <v>240000</v>
      </c>
      <c r="G1439" s="130">
        <f>E1439*F1439</f>
        <v>480000</v>
      </c>
      <c r="H1439" s="106"/>
      <c r="I1439" s="119"/>
    </row>
    <row r="1440" spans="1:9" s="149" customFormat="1" ht="19.5" customHeight="1">
      <c r="A1440" s="61"/>
      <c r="B1440" s="30"/>
      <c r="C1440" s="29" t="s">
        <v>932</v>
      </c>
      <c r="D1440" s="37" t="s">
        <v>43</v>
      </c>
      <c r="E1440" s="50">
        <v>1</v>
      </c>
      <c r="F1440" s="125">
        <v>1000000</v>
      </c>
      <c r="G1440" s="130">
        <f>E1440*F1440</f>
        <v>1000000</v>
      </c>
      <c r="H1440" s="106"/>
      <c r="I1440" s="119"/>
    </row>
    <row r="1441" spans="1:9" s="149" customFormat="1" ht="19.5" customHeight="1">
      <c r="A1441" s="61"/>
      <c r="B1441" s="30"/>
      <c r="C1441" s="29" t="s">
        <v>929</v>
      </c>
      <c r="D1441" s="37" t="s">
        <v>43</v>
      </c>
      <c r="E1441" s="50">
        <v>1</v>
      </c>
      <c r="F1441" s="125">
        <v>300000</v>
      </c>
      <c r="G1441" s="130">
        <f>E1441*F1441</f>
        <v>300000</v>
      </c>
      <c r="H1441" s="106"/>
      <c r="I1441" s="119"/>
    </row>
    <row r="1442" spans="1:9" s="149" customFormat="1" ht="19.5" customHeight="1">
      <c r="A1442" s="61"/>
      <c r="B1442" s="30"/>
      <c r="C1442" s="29" t="s">
        <v>930</v>
      </c>
      <c r="D1442" s="37" t="s">
        <v>43</v>
      </c>
      <c r="E1442" s="50">
        <v>4</v>
      </c>
      <c r="F1442" s="125">
        <v>160000</v>
      </c>
      <c r="G1442" s="130">
        <f>E1442*F1442</f>
        <v>640000</v>
      </c>
      <c r="H1442" s="106"/>
      <c r="I1442" s="119"/>
    </row>
    <row r="1443" spans="1:9" s="149" customFormat="1" ht="19.5" customHeight="1">
      <c r="A1443" s="61"/>
      <c r="B1443" s="30"/>
      <c r="C1443" s="29" t="s">
        <v>1185</v>
      </c>
      <c r="D1443" s="37" t="s">
        <v>20</v>
      </c>
      <c r="E1443" s="50">
        <v>30</v>
      </c>
      <c r="F1443" s="125">
        <v>39000</v>
      </c>
      <c r="G1443" s="130">
        <f>E1443*F1443</f>
        <v>1170000</v>
      </c>
      <c r="H1443" s="106"/>
      <c r="I1443" s="119"/>
    </row>
    <row r="1444" spans="1:9" s="149" customFormat="1" ht="15.75">
      <c r="A1444" s="145"/>
      <c r="B1444" s="277" t="s">
        <v>5</v>
      </c>
      <c r="C1444" s="146"/>
      <c r="D1444" s="147"/>
      <c r="E1444" s="281"/>
      <c r="F1444" s="148"/>
      <c r="G1444" s="156">
        <f>SUM(G1431:G1443)</f>
        <v>291430806</v>
      </c>
      <c r="H1444" s="260"/>
      <c r="I1444" s="119"/>
    </row>
    <row r="1445" spans="1:9" s="74" customFormat="1" ht="15.75">
      <c r="A1445" s="292"/>
      <c r="B1445" s="292"/>
      <c r="C1445" s="292"/>
      <c r="D1445" s="292"/>
      <c r="E1445" s="292"/>
      <c r="F1445" s="293"/>
      <c r="G1445" s="292"/>
      <c r="H1445" s="294"/>
      <c r="I1445" s="109"/>
    </row>
    <row r="1446" spans="1:9" s="74" customFormat="1" ht="15.75">
      <c r="A1446" s="71"/>
      <c r="B1446" s="252"/>
      <c r="C1446" s="253"/>
      <c r="D1446" s="282"/>
      <c r="E1446" s="254"/>
      <c r="F1446" s="283"/>
      <c r="G1446" s="283"/>
      <c r="H1446" s="290"/>
      <c r="I1446" s="109"/>
    </row>
    <row r="1449" ht="16.5">
      <c r="G1449" s="284"/>
    </row>
  </sheetData>
  <sheetProtection/>
  <autoFilter ref="A9:H1444"/>
  <mergeCells count="10">
    <mergeCell ref="A5:H5"/>
    <mergeCell ref="A6:H6"/>
    <mergeCell ref="A7:H7"/>
    <mergeCell ref="A1445:H1445"/>
    <mergeCell ref="D1:H1"/>
    <mergeCell ref="D2:H2"/>
    <mergeCell ref="A3:B3"/>
    <mergeCell ref="A4:H4"/>
    <mergeCell ref="A1:C1"/>
    <mergeCell ref="A2:C2"/>
  </mergeCells>
  <conditionalFormatting sqref="D185:D187">
    <cfRule type="dataBar" priority="1" dxfId="0">
      <dataBar minLength="0" maxLength="100">
        <cfvo type="min"/>
        <cfvo type="max"/>
        <color rgb="FF638EC6"/>
      </dataBar>
      <extLst>
        <ext xmlns:x14="http://schemas.microsoft.com/office/spreadsheetml/2009/9/main" uri="{B025F937-C7B1-47D3-B67F-A62EFF666E3E}">
          <x14:id>{aee99d15-afe6-4c02-bcab-d38cb48fe305}</x14:id>
        </ext>
      </extLst>
    </cfRule>
  </conditionalFormatting>
  <printOptions/>
  <pageMargins left="0.56" right="0.16" top="0.56" bottom="0.37" header="0.3" footer="0.21"/>
  <pageSetup horizontalDpi="600" verticalDpi="600" orientation="landscape" paperSize="9" scale="90" r:id="rId2"/>
  <headerFooter differentFirst="1">
    <oddHeader>&amp;C&amp;P</oddHeader>
  </headerFooter>
  <drawing r:id="rId1"/>
  <extLst>
    <ext xmlns:x14="http://schemas.microsoft.com/office/spreadsheetml/2009/9/main" uri="{78C0D931-6437-407d-A8EE-F0AAD7539E65}">
      <x14:conditionalFormattings>
        <x14:conditionalFormatting xmlns:xm="http://schemas.microsoft.com/office/excel/2006/main">
          <x14:cfRule type="dataBar" id="{aee99d15-afe6-4c02-bcab-d38cb48fe305}">
            <x14:dataBar minLength="0" maxLength="100" gradient="0">
              <x14:cfvo type="min"/>
              <x14:cfvo type="max"/>
              <x14:negativeFillColor rgb="FFFF0000"/>
              <x14:axisColor rgb="FF000000"/>
            </x14:dataBar>
            <x14:dxf>
              <border/>
            </x14:dxf>
          </x14:cfRule>
          <xm:sqref>D185:D187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3:G1096"/>
  <sheetViews>
    <sheetView zoomScalePageLayoutView="0" workbookViewId="0" topLeftCell="A1073">
      <selection activeCell="F172" sqref="F172"/>
    </sheetView>
  </sheetViews>
  <sheetFormatPr defaultColWidth="8.796875" defaultRowHeight="15"/>
  <cols>
    <col min="1" max="1" width="9" style="1" customWidth="1"/>
    <col min="2" max="2" width="27.09765625" style="1" customWidth="1"/>
    <col min="3" max="4" width="9" style="1" customWidth="1"/>
    <col min="5" max="5" width="15.3984375" style="1" customWidth="1"/>
    <col min="6" max="6" width="15.69921875" style="1" customWidth="1"/>
    <col min="7" max="7" width="34.5" style="1" customWidth="1"/>
    <col min="8" max="16384" width="9" style="1" customWidth="1"/>
  </cols>
  <sheetData>
    <row r="3" spans="1:7" ht="126">
      <c r="A3" s="11"/>
      <c r="B3" s="11" t="s">
        <v>945</v>
      </c>
      <c r="C3" s="8" t="s">
        <v>20</v>
      </c>
      <c r="D3" s="10">
        <v>13.1</v>
      </c>
      <c r="E3" s="172">
        <v>3953000</v>
      </c>
      <c r="F3" s="25">
        <v>51784300</v>
      </c>
      <c r="G3" s="90"/>
    </row>
    <row r="4" spans="1:7" ht="126">
      <c r="A4" s="17"/>
      <c r="B4" s="11" t="s">
        <v>950</v>
      </c>
      <c r="C4" s="8" t="s">
        <v>20</v>
      </c>
      <c r="D4" s="10">
        <v>12.3</v>
      </c>
      <c r="E4" s="172">
        <v>3953000</v>
      </c>
      <c r="F4" s="25">
        <v>48621900</v>
      </c>
      <c r="G4" s="90"/>
    </row>
    <row r="5" spans="1:7" ht="63">
      <c r="A5" s="11"/>
      <c r="B5" s="12" t="s">
        <v>899</v>
      </c>
      <c r="C5" s="8" t="s">
        <v>20</v>
      </c>
      <c r="D5" s="10">
        <v>31</v>
      </c>
      <c r="E5" s="128">
        <v>12507500</v>
      </c>
      <c r="F5" s="24">
        <v>387732500</v>
      </c>
      <c r="G5" s="92" t="s">
        <v>898</v>
      </c>
    </row>
    <row r="6" spans="1:7" ht="126">
      <c r="A6" s="17"/>
      <c r="B6" s="12" t="s">
        <v>942</v>
      </c>
      <c r="C6" s="8" t="s">
        <v>20</v>
      </c>
      <c r="D6" s="9">
        <v>1.5</v>
      </c>
      <c r="E6" s="172">
        <v>3953000</v>
      </c>
      <c r="F6" s="24">
        <v>5929500</v>
      </c>
      <c r="G6" s="93"/>
    </row>
    <row r="7" spans="1:7" ht="110.25">
      <c r="A7" s="11"/>
      <c r="B7" s="12" t="s">
        <v>784</v>
      </c>
      <c r="C7" s="2" t="s">
        <v>20</v>
      </c>
      <c r="D7" s="7">
        <v>109.7</v>
      </c>
      <c r="E7" s="25">
        <v>5003000</v>
      </c>
      <c r="F7" s="25">
        <v>548829100</v>
      </c>
      <c r="G7" s="96"/>
    </row>
    <row r="8" spans="1:7" ht="141.75">
      <c r="A8" s="11"/>
      <c r="B8" s="12" t="s">
        <v>938</v>
      </c>
      <c r="C8" s="2" t="s">
        <v>20</v>
      </c>
      <c r="D8" s="7">
        <v>156.8</v>
      </c>
      <c r="E8" s="172">
        <v>4420000</v>
      </c>
      <c r="F8" s="25">
        <v>693056000</v>
      </c>
      <c r="G8" s="90"/>
    </row>
    <row r="9" spans="1:7" ht="126">
      <c r="A9" s="11"/>
      <c r="B9" s="12" t="s">
        <v>942</v>
      </c>
      <c r="C9" s="2" t="s">
        <v>20</v>
      </c>
      <c r="D9" s="7">
        <v>67.1</v>
      </c>
      <c r="E9" s="172">
        <v>3953000</v>
      </c>
      <c r="F9" s="25">
        <v>265246299.99999997</v>
      </c>
      <c r="G9" s="90"/>
    </row>
    <row r="10" spans="1:7" ht="110.25">
      <c r="A10" s="17"/>
      <c r="B10" s="12" t="s">
        <v>785</v>
      </c>
      <c r="C10" s="2" t="s">
        <v>20</v>
      </c>
      <c r="D10" s="9">
        <v>44</v>
      </c>
      <c r="E10" s="25">
        <v>5003000</v>
      </c>
      <c r="F10" s="25">
        <v>220132000</v>
      </c>
      <c r="G10" s="93"/>
    </row>
    <row r="11" spans="1:7" ht="126">
      <c r="A11" s="17"/>
      <c r="B11" s="13" t="s">
        <v>945</v>
      </c>
      <c r="C11" s="2" t="s">
        <v>20</v>
      </c>
      <c r="D11" s="9">
        <v>2.6</v>
      </c>
      <c r="E11" s="172">
        <v>3953000</v>
      </c>
      <c r="F11" s="25">
        <v>10277800</v>
      </c>
      <c r="G11" s="93"/>
    </row>
    <row r="12" spans="1:7" ht="126">
      <c r="A12" s="11"/>
      <c r="B12" s="13" t="s">
        <v>945</v>
      </c>
      <c r="C12" s="2" t="s">
        <v>20</v>
      </c>
      <c r="D12" s="7">
        <v>3.1</v>
      </c>
      <c r="E12" s="172">
        <v>3953000</v>
      </c>
      <c r="F12" s="25">
        <v>12254300</v>
      </c>
      <c r="G12" s="90"/>
    </row>
    <row r="13" spans="1:7" ht="126">
      <c r="A13" s="17"/>
      <c r="B13" s="13" t="s">
        <v>945</v>
      </c>
      <c r="C13" s="2" t="s">
        <v>20</v>
      </c>
      <c r="D13" s="7">
        <v>3.5</v>
      </c>
      <c r="E13" s="172">
        <v>3953000</v>
      </c>
      <c r="F13" s="25">
        <v>13835500</v>
      </c>
      <c r="G13" s="90"/>
    </row>
    <row r="14" spans="1:7" ht="141.75">
      <c r="A14" s="11"/>
      <c r="B14" s="12" t="s">
        <v>786</v>
      </c>
      <c r="C14" s="2" t="s">
        <v>20</v>
      </c>
      <c r="D14" s="22">
        <v>351</v>
      </c>
      <c r="E14" s="25">
        <v>5102000</v>
      </c>
      <c r="F14" s="25">
        <v>1790802000</v>
      </c>
      <c r="G14" s="94"/>
    </row>
    <row r="15" spans="1:7" ht="157.5">
      <c r="A15" s="17"/>
      <c r="B15" s="13" t="s">
        <v>948</v>
      </c>
      <c r="C15" s="2" t="s">
        <v>20</v>
      </c>
      <c r="D15" s="171">
        <v>335.2</v>
      </c>
      <c r="E15" s="172">
        <v>2551000</v>
      </c>
      <c r="F15" s="25">
        <v>855095200</v>
      </c>
      <c r="G15" s="93"/>
    </row>
    <row r="16" spans="1:7" ht="141.75">
      <c r="A16" s="17"/>
      <c r="B16" s="12" t="s">
        <v>786</v>
      </c>
      <c r="C16" s="2" t="s">
        <v>20</v>
      </c>
      <c r="D16" s="9">
        <v>284.7</v>
      </c>
      <c r="E16" s="25">
        <v>5102000</v>
      </c>
      <c r="F16" s="25">
        <v>1452539400</v>
      </c>
      <c r="G16" s="93"/>
    </row>
    <row r="17" spans="1:7" ht="173.25">
      <c r="A17" s="17"/>
      <c r="B17" s="12" t="s">
        <v>949</v>
      </c>
      <c r="C17" s="4" t="s">
        <v>20</v>
      </c>
      <c r="D17" s="10">
        <v>640.9</v>
      </c>
      <c r="E17" s="172">
        <v>2551000</v>
      </c>
      <c r="F17" s="25">
        <v>1634935900</v>
      </c>
      <c r="G17" s="93"/>
    </row>
    <row r="18" spans="1:7" ht="141.75">
      <c r="A18" s="17"/>
      <c r="B18" s="12" t="s">
        <v>786</v>
      </c>
      <c r="C18" s="2" t="s">
        <v>20</v>
      </c>
      <c r="D18" s="9">
        <v>305</v>
      </c>
      <c r="E18" s="25">
        <v>5102000</v>
      </c>
      <c r="F18" s="25">
        <v>1556110000</v>
      </c>
      <c r="G18" s="93"/>
    </row>
    <row r="19" spans="1:7" ht="141.75">
      <c r="A19" s="17"/>
      <c r="B19" s="13" t="s">
        <v>943</v>
      </c>
      <c r="C19" s="2" t="s">
        <v>20</v>
      </c>
      <c r="D19" s="9">
        <v>141.8</v>
      </c>
      <c r="E19" s="172">
        <v>2551000</v>
      </c>
      <c r="F19" s="25">
        <v>361731800</v>
      </c>
      <c r="G19" s="93"/>
    </row>
    <row r="20" spans="1:7" ht="110.25">
      <c r="A20" s="11"/>
      <c r="B20" s="12" t="s">
        <v>780</v>
      </c>
      <c r="C20" s="2" t="s">
        <v>20</v>
      </c>
      <c r="D20" s="7">
        <v>83.6</v>
      </c>
      <c r="E20" s="25">
        <v>5670000</v>
      </c>
      <c r="F20" s="25">
        <v>474011999.99999994</v>
      </c>
      <c r="G20" s="90"/>
    </row>
    <row r="21" spans="1:7" ht="110.25">
      <c r="A21" s="11"/>
      <c r="B21" s="13" t="s">
        <v>787</v>
      </c>
      <c r="C21" s="2" t="s">
        <v>20</v>
      </c>
      <c r="D21" s="7">
        <v>98.8</v>
      </c>
      <c r="E21" s="25">
        <v>5003000</v>
      </c>
      <c r="F21" s="25">
        <v>494296400</v>
      </c>
      <c r="G21" s="90"/>
    </row>
    <row r="22" spans="1:7" ht="141.75">
      <c r="A22" s="81"/>
      <c r="B22" s="78" t="s">
        <v>939</v>
      </c>
      <c r="C22" s="79" t="s">
        <v>20</v>
      </c>
      <c r="D22" s="80">
        <v>59.9</v>
      </c>
      <c r="E22" s="172">
        <v>4420000</v>
      </c>
      <c r="F22" s="127">
        <v>264758000</v>
      </c>
      <c r="G22" s="99"/>
    </row>
    <row r="23" spans="1:7" ht="110.25">
      <c r="A23" s="16"/>
      <c r="B23" s="12" t="s">
        <v>780</v>
      </c>
      <c r="C23" s="4" t="s">
        <v>20</v>
      </c>
      <c r="D23" s="9">
        <v>200</v>
      </c>
      <c r="E23" s="25">
        <v>5670000</v>
      </c>
      <c r="F23" s="25">
        <v>1134000000</v>
      </c>
      <c r="G23" s="95"/>
    </row>
    <row r="24" spans="1:7" ht="126">
      <c r="A24" s="51"/>
      <c r="B24" s="48" t="s">
        <v>941</v>
      </c>
      <c r="C24" s="4" t="s">
        <v>20</v>
      </c>
      <c r="D24" s="10">
        <v>980.5999999999999</v>
      </c>
      <c r="E24" s="172">
        <v>4420000</v>
      </c>
      <c r="F24" s="24">
        <v>4334252000</v>
      </c>
      <c r="G24" s="95"/>
    </row>
    <row r="25" spans="1:7" ht="94.5">
      <c r="A25" s="51"/>
      <c r="B25" s="12" t="s">
        <v>777</v>
      </c>
      <c r="C25" s="4" t="s">
        <v>20</v>
      </c>
      <c r="D25" s="10">
        <v>85.7</v>
      </c>
      <c r="E25" s="24">
        <v>5003000</v>
      </c>
      <c r="F25" s="24">
        <v>428757100</v>
      </c>
      <c r="G25" s="95"/>
    </row>
    <row r="26" spans="1:7" ht="110.25">
      <c r="A26" s="11"/>
      <c r="B26" s="13" t="s">
        <v>785</v>
      </c>
      <c r="C26" s="4" t="s">
        <v>20</v>
      </c>
      <c r="D26" s="7">
        <v>122.8</v>
      </c>
      <c r="E26" s="25">
        <v>5003000</v>
      </c>
      <c r="F26" s="25">
        <v>614368400</v>
      </c>
      <c r="G26" s="100"/>
    </row>
    <row r="27" spans="1:7" ht="126">
      <c r="A27" s="11"/>
      <c r="B27" s="13" t="s">
        <v>789</v>
      </c>
      <c r="C27" s="4" t="s">
        <v>20</v>
      </c>
      <c r="D27" s="7">
        <v>70.4</v>
      </c>
      <c r="E27" s="25">
        <v>5670000</v>
      </c>
      <c r="F27" s="25">
        <v>399168000.00000006</v>
      </c>
      <c r="G27" s="90"/>
    </row>
    <row r="28" spans="1:7" ht="126">
      <c r="A28" s="11"/>
      <c r="B28" s="13" t="s">
        <v>789</v>
      </c>
      <c r="C28" s="4" t="s">
        <v>20</v>
      </c>
      <c r="D28" s="7">
        <v>200</v>
      </c>
      <c r="E28" s="25">
        <v>5670000</v>
      </c>
      <c r="F28" s="25">
        <v>1134000000</v>
      </c>
      <c r="G28" s="90"/>
    </row>
    <row r="29" spans="1:7" ht="141.75">
      <c r="A29" s="11"/>
      <c r="B29" s="13" t="s">
        <v>936</v>
      </c>
      <c r="C29" s="4" t="s">
        <v>20</v>
      </c>
      <c r="D29" s="7">
        <v>11.2</v>
      </c>
      <c r="E29" s="172">
        <v>4420000</v>
      </c>
      <c r="F29" s="25">
        <v>49504000</v>
      </c>
      <c r="G29" s="90"/>
    </row>
    <row r="30" spans="1:7" ht="141.75">
      <c r="A30" s="11"/>
      <c r="B30" s="13" t="s">
        <v>936</v>
      </c>
      <c r="C30" s="37" t="s">
        <v>20</v>
      </c>
      <c r="D30" s="7">
        <v>14.9</v>
      </c>
      <c r="E30" s="172">
        <v>4420000</v>
      </c>
      <c r="F30" s="25">
        <v>65858000</v>
      </c>
      <c r="G30" s="90"/>
    </row>
    <row r="31" spans="1:7" ht="126">
      <c r="A31" s="52"/>
      <c r="B31" s="28" t="s">
        <v>791</v>
      </c>
      <c r="C31" s="158" t="s">
        <v>20</v>
      </c>
      <c r="D31" s="161">
        <v>55.7</v>
      </c>
      <c r="E31" s="163">
        <v>5102000</v>
      </c>
      <c r="F31" s="126">
        <v>284181400</v>
      </c>
      <c r="G31" s="162"/>
    </row>
    <row r="32" spans="1:7" ht="126">
      <c r="A32" s="11"/>
      <c r="B32" s="13" t="s">
        <v>790</v>
      </c>
      <c r="C32" s="4" t="s">
        <v>20</v>
      </c>
      <c r="D32" s="7">
        <v>2.5</v>
      </c>
      <c r="E32" s="25">
        <v>5670000</v>
      </c>
      <c r="F32" s="25">
        <v>14175000</v>
      </c>
      <c r="G32" s="90"/>
    </row>
    <row r="33" spans="1:7" ht="126">
      <c r="A33" s="11"/>
      <c r="B33" s="13" t="s">
        <v>791</v>
      </c>
      <c r="C33" s="4" t="s">
        <v>20</v>
      </c>
      <c r="D33" s="7">
        <v>150</v>
      </c>
      <c r="E33" s="25">
        <v>5102000</v>
      </c>
      <c r="F33" s="25">
        <v>765300000</v>
      </c>
      <c r="G33" s="90"/>
    </row>
    <row r="34" spans="1:7" ht="141.75">
      <c r="A34" s="17"/>
      <c r="B34" s="13" t="s">
        <v>943</v>
      </c>
      <c r="C34" s="4"/>
      <c r="D34" s="7">
        <v>51.5</v>
      </c>
      <c r="E34" s="172">
        <v>2551000</v>
      </c>
      <c r="F34" s="25">
        <v>131376500</v>
      </c>
      <c r="G34" s="90"/>
    </row>
    <row r="35" spans="1:7" ht="126">
      <c r="A35" s="11"/>
      <c r="B35" s="13" t="s">
        <v>789</v>
      </c>
      <c r="C35" s="4" t="s">
        <v>20</v>
      </c>
      <c r="D35" s="9">
        <v>47.9</v>
      </c>
      <c r="E35" s="25">
        <v>5670000</v>
      </c>
      <c r="F35" s="25">
        <v>271593000</v>
      </c>
      <c r="G35" s="93"/>
    </row>
    <row r="36" spans="1:7" ht="141.75">
      <c r="A36" s="17"/>
      <c r="B36" s="13" t="s">
        <v>940</v>
      </c>
      <c r="C36" s="4" t="s">
        <v>20</v>
      </c>
      <c r="D36" s="9">
        <v>12.8</v>
      </c>
      <c r="E36" s="172">
        <v>4420000</v>
      </c>
      <c r="F36" s="25">
        <v>56576000</v>
      </c>
      <c r="G36" s="93"/>
    </row>
    <row r="37" spans="1:7" ht="126">
      <c r="A37" s="11"/>
      <c r="B37" s="13" t="s">
        <v>790</v>
      </c>
      <c r="C37" s="4" t="s">
        <v>20</v>
      </c>
      <c r="D37" s="7">
        <v>47.8</v>
      </c>
      <c r="E37" s="25">
        <v>5670000</v>
      </c>
      <c r="F37" s="25">
        <v>271026000</v>
      </c>
      <c r="G37" s="90"/>
    </row>
    <row r="38" spans="1:7" ht="141.75">
      <c r="A38" s="17"/>
      <c r="B38" s="13" t="s">
        <v>936</v>
      </c>
      <c r="C38" s="4" t="s">
        <v>20</v>
      </c>
      <c r="D38" s="7">
        <v>11.3</v>
      </c>
      <c r="E38" s="172">
        <v>4420000</v>
      </c>
      <c r="F38" s="25">
        <v>49946000</v>
      </c>
      <c r="G38" s="90"/>
    </row>
    <row r="39" spans="1:7" ht="141.75">
      <c r="A39" s="11"/>
      <c r="B39" s="13" t="s">
        <v>952</v>
      </c>
      <c r="C39" s="4" t="s">
        <v>20</v>
      </c>
      <c r="D39" s="7">
        <v>199.9</v>
      </c>
      <c r="E39" s="172">
        <v>2551000</v>
      </c>
      <c r="F39" s="25">
        <v>509944900</v>
      </c>
      <c r="G39" s="90"/>
    </row>
    <row r="40" spans="1:7" ht="126">
      <c r="A40" s="11"/>
      <c r="B40" s="13" t="s">
        <v>791</v>
      </c>
      <c r="C40" s="4" t="s">
        <v>20</v>
      </c>
      <c r="D40" s="7">
        <v>200</v>
      </c>
      <c r="E40" s="25">
        <v>5102000</v>
      </c>
      <c r="F40" s="25">
        <v>1020400000</v>
      </c>
      <c r="G40" s="90"/>
    </row>
    <row r="41" spans="1:7" ht="141.75">
      <c r="A41" s="17"/>
      <c r="B41" s="12" t="s">
        <v>943</v>
      </c>
      <c r="C41" s="4" t="s">
        <v>20</v>
      </c>
      <c r="D41" s="7">
        <v>280.4</v>
      </c>
      <c r="E41" s="172">
        <v>2551000</v>
      </c>
      <c r="F41" s="25">
        <v>715300400</v>
      </c>
      <c r="G41" s="90"/>
    </row>
    <row r="42" spans="1:7" ht="126">
      <c r="A42" s="16"/>
      <c r="B42" s="33" t="s">
        <v>968</v>
      </c>
      <c r="C42" s="4" t="s">
        <v>20</v>
      </c>
      <c r="D42" s="7">
        <v>230.4</v>
      </c>
      <c r="E42" s="172">
        <v>2551000</v>
      </c>
      <c r="F42" s="25">
        <v>587750400</v>
      </c>
      <c r="G42" s="90"/>
    </row>
    <row r="43" spans="1:7" ht="126">
      <c r="A43" s="16"/>
      <c r="B43" s="83" t="s">
        <v>794</v>
      </c>
      <c r="C43" s="4" t="s">
        <v>20</v>
      </c>
      <c r="D43" s="65">
        <v>800</v>
      </c>
      <c r="E43" s="25">
        <v>5102000</v>
      </c>
      <c r="F43" s="25">
        <v>4081600000</v>
      </c>
      <c r="G43" s="90"/>
    </row>
    <row r="44" spans="1:7" ht="141.75">
      <c r="A44" s="16"/>
      <c r="B44" s="82" t="s">
        <v>951</v>
      </c>
      <c r="C44" s="4" t="s">
        <v>20</v>
      </c>
      <c r="D44" s="65">
        <v>1026</v>
      </c>
      <c r="E44" s="172">
        <v>2551000</v>
      </c>
      <c r="F44" s="25">
        <v>2617326000</v>
      </c>
      <c r="G44" s="90"/>
    </row>
    <row r="45" spans="1:7" ht="110.25">
      <c r="A45" s="11"/>
      <c r="B45" s="13" t="s">
        <v>795</v>
      </c>
      <c r="C45" s="4" t="s">
        <v>20</v>
      </c>
      <c r="D45" s="7">
        <v>305.4</v>
      </c>
      <c r="E45" s="25">
        <v>14174000</v>
      </c>
      <c r="F45" s="25">
        <v>4328739600</v>
      </c>
      <c r="G45" s="90"/>
    </row>
    <row r="46" spans="1:7" ht="141.75">
      <c r="A46" s="11"/>
      <c r="B46" s="33" t="s">
        <v>943</v>
      </c>
      <c r="C46" s="4" t="s">
        <v>20</v>
      </c>
      <c r="D46" s="7">
        <v>250.3</v>
      </c>
      <c r="E46" s="172">
        <v>2551000</v>
      </c>
      <c r="F46" s="25">
        <v>638515300</v>
      </c>
      <c r="G46" s="90"/>
    </row>
    <row r="47" spans="1:7" ht="141.75">
      <c r="A47" s="11"/>
      <c r="B47" s="12" t="s">
        <v>937</v>
      </c>
      <c r="C47" s="4" t="s">
        <v>20</v>
      </c>
      <c r="D47" s="21">
        <v>111.3</v>
      </c>
      <c r="E47" s="172">
        <v>4420000</v>
      </c>
      <c r="F47" s="25">
        <v>491946000</v>
      </c>
      <c r="G47" s="90"/>
    </row>
    <row r="48" spans="1:7" ht="141.75">
      <c r="A48" s="11"/>
      <c r="B48" s="12" t="s">
        <v>937</v>
      </c>
      <c r="C48" s="4" t="s">
        <v>20</v>
      </c>
      <c r="D48" s="7">
        <v>55.8</v>
      </c>
      <c r="E48" s="172">
        <v>4420000</v>
      </c>
      <c r="F48" s="25">
        <v>246636000</v>
      </c>
      <c r="G48" s="90"/>
    </row>
    <row r="49" spans="1:7" ht="110.25">
      <c r="A49" s="11"/>
      <c r="B49" s="13" t="s">
        <v>785</v>
      </c>
      <c r="C49" s="4" t="s">
        <v>20</v>
      </c>
      <c r="D49" s="7">
        <v>194</v>
      </c>
      <c r="E49" s="25">
        <v>5003000</v>
      </c>
      <c r="F49" s="25">
        <v>970582000</v>
      </c>
      <c r="G49" s="90"/>
    </row>
    <row r="50" spans="1:7" ht="110.25">
      <c r="A50" s="11"/>
      <c r="B50" s="13" t="s">
        <v>814</v>
      </c>
      <c r="C50" s="4" t="s">
        <v>20</v>
      </c>
      <c r="D50" s="7">
        <v>40</v>
      </c>
      <c r="E50" s="25">
        <v>8504500</v>
      </c>
      <c r="F50" s="25">
        <v>340180000</v>
      </c>
      <c r="G50" s="90"/>
    </row>
    <row r="51" spans="1:7" ht="157.5">
      <c r="A51" s="17"/>
      <c r="B51" s="13" t="s">
        <v>813</v>
      </c>
      <c r="C51" s="4" t="s">
        <v>20</v>
      </c>
      <c r="D51" s="7">
        <v>10.2</v>
      </c>
      <c r="E51" s="172">
        <v>6704500</v>
      </c>
      <c r="F51" s="25">
        <v>68385900</v>
      </c>
      <c r="G51" s="90"/>
    </row>
    <row r="52" spans="1:7" ht="126">
      <c r="A52" s="11"/>
      <c r="B52" s="13" t="s">
        <v>970</v>
      </c>
      <c r="C52" s="4" t="s">
        <v>20</v>
      </c>
      <c r="D52" s="7">
        <v>20</v>
      </c>
      <c r="E52" s="25">
        <v>8504500</v>
      </c>
      <c r="F52" s="25">
        <v>170090000</v>
      </c>
      <c r="G52" s="90"/>
    </row>
    <row r="53" spans="1:7" ht="157.5">
      <c r="A53" s="11"/>
      <c r="B53" s="13" t="s">
        <v>971</v>
      </c>
      <c r="C53" s="4" t="s">
        <v>20</v>
      </c>
      <c r="D53" s="7">
        <v>51.7</v>
      </c>
      <c r="E53" s="172">
        <v>6704500</v>
      </c>
      <c r="F53" s="25">
        <v>346622650</v>
      </c>
      <c r="G53" s="90"/>
    </row>
    <row r="54" spans="1:7" ht="110.25">
      <c r="A54" s="11"/>
      <c r="B54" s="13" t="s">
        <v>814</v>
      </c>
      <c r="C54" s="4" t="s">
        <v>20</v>
      </c>
      <c r="D54" s="9">
        <v>20</v>
      </c>
      <c r="E54" s="25">
        <v>8504500</v>
      </c>
      <c r="F54" s="25">
        <v>170090000</v>
      </c>
      <c r="G54" s="90"/>
    </row>
    <row r="55" spans="1:7" ht="141.75">
      <c r="A55" s="17"/>
      <c r="B55" s="13" t="s">
        <v>917</v>
      </c>
      <c r="C55" s="4" t="s">
        <v>20</v>
      </c>
      <c r="D55" s="9">
        <v>38.2</v>
      </c>
      <c r="E55" s="172">
        <v>6704500</v>
      </c>
      <c r="F55" s="25">
        <v>256111900.00000003</v>
      </c>
      <c r="G55" s="90"/>
    </row>
    <row r="56" spans="1:7" ht="110.25">
      <c r="A56" s="11"/>
      <c r="B56" s="13" t="s">
        <v>814</v>
      </c>
      <c r="C56" s="4" t="s">
        <v>20</v>
      </c>
      <c r="D56" s="7">
        <v>95.3</v>
      </c>
      <c r="E56" s="25">
        <v>8504500</v>
      </c>
      <c r="F56" s="25">
        <v>810478850</v>
      </c>
      <c r="G56" s="90"/>
    </row>
    <row r="57" spans="1:7" ht="110.25">
      <c r="A57" s="17"/>
      <c r="B57" s="13" t="s">
        <v>814</v>
      </c>
      <c r="C57" s="4" t="s">
        <v>20</v>
      </c>
      <c r="D57" s="7">
        <v>18</v>
      </c>
      <c r="E57" s="25">
        <v>8504500</v>
      </c>
      <c r="F57" s="25">
        <v>153081000</v>
      </c>
      <c r="G57" s="90"/>
    </row>
    <row r="58" spans="1:7" ht="157.5">
      <c r="A58" s="51"/>
      <c r="B58" s="13" t="s">
        <v>813</v>
      </c>
      <c r="C58" s="4" t="s">
        <v>20</v>
      </c>
      <c r="D58" s="7">
        <v>24.3</v>
      </c>
      <c r="E58" s="172">
        <v>6704500</v>
      </c>
      <c r="F58" s="25">
        <v>162919350</v>
      </c>
      <c r="G58" s="90"/>
    </row>
    <row r="59" spans="1:7" ht="110.25">
      <c r="A59" s="11"/>
      <c r="B59" s="13" t="s">
        <v>814</v>
      </c>
      <c r="C59" s="4" t="s">
        <v>20</v>
      </c>
      <c r="D59" s="7">
        <v>20</v>
      </c>
      <c r="E59" s="25">
        <v>8504500</v>
      </c>
      <c r="F59" s="25">
        <v>170090000</v>
      </c>
      <c r="G59" s="90"/>
    </row>
    <row r="60" spans="1:7" ht="157.5">
      <c r="A60" s="17"/>
      <c r="B60" s="13" t="s">
        <v>813</v>
      </c>
      <c r="C60" s="4" t="s">
        <v>20</v>
      </c>
      <c r="D60" s="7">
        <v>43.1</v>
      </c>
      <c r="E60" s="172">
        <v>6704500</v>
      </c>
      <c r="F60" s="25">
        <v>288963950</v>
      </c>
      <c r="G60" s="90"/>
    </row>
    <row r="61" spans="1:7" ht="110.25">
      <c r="A61" s="17"/>
      <c r="B61" s="13" t="s">
        <v>814</v>
      </c>
      <c r="C61" s="2" t="s">
        <v>20</v>
      </c>
      <c r="D61" s="7">
        <v>18</v>
      </c>
      <c r="E61" s="25">
        <v>8504500</v>
      </c>
      <c r="F61" s="25">
        <v>153081000</v>
      </c>
      <c r="G61" s="90"/>
    </row>
    <row r="62" spans="1:7" ht="141.75">
      <c r="A62" s="17"/>
      <c r="B62" s="13" t="s">
        <v>917</v>
      </c>
      <c r="C62" s="2" t="s">
        <v>20</v>
      </c>
      <c r="D62" s="7">
        <v>34.5</v>
      </c>
      <c r="E62" s="172">
        <v>6704500</v>
      </c>
      <c r="F62" s="25">
        <v>231305250</v>
      </c>
      <c r="G62" s="90"/>
    </row>
    <row r="63" spans="1:7" ht="110.25">
      <c r="A63" s="17"/>
      <c r="B63" s="13" t="s">
        <v>814</v>
      </c>
      <c r="C63" s="4" t="s">
        <v>20</v>
      </c>
      <c r="D63" s="7">
        <v>29</v>
      </c>
      <c r="E63" s="25">
        <v>8504500</v>
      </c>
      <c r="F63" s="25">
        <v>246630500</v>
      </c>
      <c r="G63" s="90"/>
    </row>
    <row r="64" spans="1:7" ht="157.5">
      <c r="A64" s="16"/>
      <c r="B64" s="13" t="s">
        <v>813</v>
      </c>
      <c r="C64" s="4" t="s">
        <v>20</v>
      </c>
      <c r="D64" s="7">
        <v>71.9</v>
      </c>
      <c r="E64" s="172">
        <v>6704500</v>
      </c>
      <c r="F64" s="25">
        <v>482053550.00000006</v>
      </c>
      <c r="G64" s="90"/>
    </row>
    <row r="65" spans="1:7" ht="157.5">
      <c r="A65" s="17"/>
      <c r="B65" s="12" t="s">
        <v>809</v>
      </c>
      <c r="C65" s="2" t="s">
        <v>20</v>
      </c>
      <c r="D65" s="7">
        <v>348.3</v>
      </c>
      <c r="E65" s="172">
        <v>6704500</v>
      </c>
      <c r="F65" s="25">
        <v>2335177350</v>
      </c>
      <c r="G65" s="90"/>
    </row>
    <row r="66" spans="1:7" ht="126">
      <c r="A66" s="55"/>
      <c r="B66" s="29" t="s">
        <v>894</v>
      </c>
      <c r="C66" s="37" t="s">
        <v>20</v>
      </c>
      <c r="D66" s="84">
        <v>15</v>
      </c>
      <c r="E66" s="136">
        <v>8504500</v>
      </c>
      <c r="F66" s="125">
        <v>127567500</v>
      </c>
      <c r="G66" s="101"/>
    </row>
    <row r="67" spans="1:7" ht="157.5">
      <c r="A67" s="55"/>
      <c r="B67" s="48" t="s">
        <v>813</v>
      </c>
      <c r="C67" s="37" t="s">
        <v>20</v>
      </c>
      <c r="D67" s="84">
        <v>9.3</v>
      </c>
      <c r="E67" s="125">
        <v>6704500</v>
      </c>
      <c r="F67" s="125">
        <v>62351850.00000001</v>
      </c>
      <c r="G67" s="101"/>
    </row>
    <row r="68" spans="1:7" ht="157.5">
      <c r="A68" s="30"/>
      <c r="B68" s="48" t="s">
        <v>809</v>
      </c>
      <c r="C68" s="49" t="s">
        <v>20</v>
      </c>
      <c r="D68" s="84">
        <v>608.3</v>
      </c>
      <c r="E68" s="172">
        <v>6704500</v>
      </c>
      <c r="F68" s="125">
        <v>4078347349.9999995</v>
      </c>
      <c r="G68" s="101"/>
    </row>
    <row r="69" spans="1:7" ht="157.5">
      <c r="A69" s="11"/>
      <c r="B69" s="12" t="s">
        <v>809</v>
      </c>
      <c r="C69" s="2" t="s">
        <v>20</v>
      </c>
      <c r="D69" s="7">
        <v>339.8</v>
      </c>
      <c r="E69" s="172">
        <v>6704500</v>
      </c>
      <c r="F69" s="25">
        <v>2278189100</v>
      </c>
      <c r="G69" s="90"/>
    </row>
    <row r="70" spans="1:7" ht="157.5">
      <c r="A70" s="16"/>
      <c r="B70" s="12" t="s">
        <v>809</v>
      </c>
      <c r="C70" s="2" t="s">
        <v>20</v>
      </c>
      <c r="D70" s="7">
        <v>319.1</v>
      </c>
      <c r="E70" s="172">
        <v>6704500</v>
      </c>
      <c r="F70" s="25">
        <v>2139405950.0000002</v>
      </c>
      <c r="G70" s="90"/>
    </row>
    <row r="71" spans="1:7" ht="157.5">
      <c r="A71" s="41"/>
      <c r="B71" s="27" t="s">
        <v>955</v>
      </c>
      <c r="C71" s="168" t="s">
        <v>20</v>
      </c>
      <c r="D71" s="166">
        <v>343</v>
      </c>
      <c r="E71" s="172">
        <v>6704500</v>
      </c>
      <c r="F71" s="126">
        <v>2299643500</v>
      </c>
      <c r="G71" s="162"/>
    </row>
    <row r="72" spans="1:7" ht="157.5">
      <c r="A72" s="17"/>
      <c r="B72" s="29" t="s">
        <v>809</v>
      </c>
      <c r="C72" s="37" t="s">
        <v>20</v>
      </c>
      <c r="D72" s="84">
        <v>525.6</v>
      </c>
      <c r="E72" s="172">
        <v>6704500</v>
      </c>
      <c r="F72" s="125">
        <v>3523885200</v>
      </c>
      <c r="G72" s="101"/>
    </row>
    <row r="73" spans="1:7" ht="141.75">
      <c r="A73" s="30"/>
      <c r="B73" s="29" t="s">
        <v>810</v>
      </c>
      <c r="C73" s="37" t="s">
        <v>20</v>
      </c>
      <c r="D73" s="84">
        <v>2252.9</v>
      </c>
      <c r="E73" s="174">
        <v>6704500</v>
      </c>
      <c r="F73" s="125">
        <v>15104568050</v>
      </c>
      <c r="G73" s="101"/>
    </row>
    <row r="74" spans="1:7" ht="157.5">
      <c r="A74" s="17"/>
      <c r="B74" s="29" t="s">
        <v>954</v>
      </c>
      <c r="C74" s="37" t="s">
        <v>20</v>
      </c>
      <c r="D74" s="84">
        <v>5927.4</v>
      </c>
      <c r="E74" s="174">
        <v>3352000</v>
      </c>
      <c r="F74" s="125">
        <v>19868644800</v>
      </c>
      <c r="G74" s="101"/>
    </row>
    <row r="75" spans="1:7" ht="110.25">
      <c r="A75" s="30"/>
      <c r="B75" s="29" t="s">
        <v>956</v>
      </c>
      <c r="C75" s="37" t="s">
        <v>20</v>
      </c>
      <c r="D75" s="84">
        <v>39.1</v>
      </c>
      <c r="E75" s="125">
        <v>24228000</v>
      </c>
      <c r="F75" s="125">
        <v>947314800</v>
      </c>
      <c r="G75" s="101"/>
    </row>
    <row r="76" spans="1:7" ht="157.5">
      <c r="A76" s="17"/>
      <c r="B76" s="48" t="s">
        <v>809</v>
      </c>
      <c r="C76" s="37" t="s">
        <v>20</v>
      </c>
      <c r="D76" s="7">
        <v>301</v>
      </c>
      <c r="E76" s="172">
        <v>6704500</v>
      </c>
      <c r="F76" s="25">
        <v>2018054500</v>
      </c>
      <c r="G76" s="90"/>
    </row>
    <row r="77" spans="1:7" ht="157.5">
      <c r="A77" s="17"/>
      <c r="B77" s="48" t="s">
        <v>809</v>
      </c>
      <c r="C77" s="37" t="s">
        <v>20</v>
      </c>
      <c r="D77" s="7">
        <v>301.4</v>
      </c>
      <c r="E77" s="172">
        <v>6704500</v>
      </c>
      <c r="F77" s="25">
        <v>2020736299.9999998</v>
      </c>
      <c r="G77" s="90"/>
    </row>
    <row r="78" spans="1:7" ht="126">
      <c r="A78" s="17"/>
      <c r="B78" s="13" t="s">
        <v>799</v>
      </c>
      <c r="C78" s="4" t="s">
        <v>20</v>
      </c>
      <c r="D78" s="7">
        <v>108</v>
      </c>
      <c r="E78" s="25">
        <v>5102000</v>
      </c>
      <c r="F78" s="25">
        <v>551016000</v>
      </c>
      <c r="G78" s="90"/>
    </row>
    <row r="79" spans="1:7" ht="141.75">
      <c r="A79" s="16"/>
      <c r="B79" s="48" t="s">
        <v>944</v>
      </c>
      <c r="C79" s="37" t="s">
        <v>20</v>
      </c>
      <c r="D79" s="7">
        <v>40.5</v>
      </c>
      <c r="E79" s="172">
        <v>2551000</v>
      </c>
      <c r="F79" s="25">
        <v>103315500</v>
      </c>
      <c r="G79" s="90"/>
    </row>
    <row r="80" spans="1:7" ht="110.25">
      <c r="A80" s="17"/>
      <c r="B80" s="13" t="s">
        <v>814</v>
      </c>
      <c r="C80" s="4" t="s">
        <v>20</v>
      </c>
      <c r="D80" s="7">
        <v>20</v>
      </c>
      <c r="E80" s="25">
        <v>8504500</v>
      </c>
      <c r="F80" s="25">
        <v>170090000</v>
      </c>
      <c r="G80" s="90"/>
    </row>
    <row r="81" spans="1:7" ht="141.75">
      <c r="A81" s="16"/>
      <c r="B81" s="48" t="s">
        <v>974</v>
      </c>
      <c r="C81" s="37" t="s">
        <v>20</v>
      </c>
      <c r="D81" s="7">
        <v>38.5</v>
      </c>
      <c r="E81" s="172">
        <v>6704500</v>
      </c>
      <c r="F81" s="25">
        <v>258123250</v>
      </c>
      <c r="G81" s="90"/>
    </row>
    <row r="82" spans="1:7" ht="110.25">
      <c r="A82" s="11"/>
      <c r="B82" s="13" t="s">
        <v>814</v>
      </c>
      <c r="C82" s="4" t="s">
        <v>20</v>
      </c>
      <c r="D82" s="7">
        <v>1494.1</v>
      </c>
      <c r="E82" s="25">
        <v>8504500</v>
      </c>
      <c r="F82" s="25">
        <v>12706573450</v>
      </c>
      <c r="G82" s="90"/>
    </row>
    <row r="83" spans="1:7" ht="47.25">
      <c r="A83" s="16"/>
      <c r="B83" s="48" t="s">
        <v>953</v>
      </c>
      <c r="C83" s="37" t="s">
        <v>20</v>
      </c>
      <c r="D83" s="7">
        <v>345.7</v>
      </c>
      <c r="E83" s="172">
        <v>1841000</v>
      </c>
      <c r="F83" s="25">
        <v>636433700</v>
      </c>
      <c r="G83" s="90"/>
    </row>
    <row r="84" spans="1:7" ht="47.25">
      <c r="A84" s="16"/>
      <c r="B84" s="48" t="s">
        <v>953</v>
      </c>
      <c r="C84" s="37" t="s">
        <v>20</v>
      </c>
      <c r="D84" s="7">
        <v>15.7</v>
      </c>
      <c r="E84" s="172">
        <v>1841000</v>
      </c>
      <c r="F84" s="25">
        <v>28903700</v>
      </c>
      <c r="G84" s="90"/>
    </row>
    <row r="85" spans="1:7" ht="47.25">
      <c r="A85" s="16"/>
      <c r="B85" s="48" t="s">
        <v>953</v>
      </c>
      <c r="C85" s="37" t="s">
        <v>20</v>
      </c>
      <c r="D85" s="7">
        <v>39</v>
      </c>
      <c r="E85" s="172">
        <v>1841000</v>
      </c>
      <c r="F85" s="25">
        <v>71799000</v>
      </c>
      <c r="G85" s="90"/>
    </row>
    <row r="86" spans="1:7" ht="110.25">
      <c r="A86" s="121"/>
      <c r="B86" s="88" t="s">
        <v>801</v>
      </c>
      <c r="C86" s="89" t="s">
        <v>20</v>
      </c>
      <c r="D86" s="122">
        <v>0.7</v>
      </c>
      <c r="E86" s="135">
        <v>7087000</v>
      </c>
      <c r="F86" s="132">
        <v>4960900</v>
      </c>
      <c r="G86" s="123"/>
    </row>
    <row r="87" spans="1:7" ht="110.25">
      <c r="A87" s="17"/>
      <c r="B87" s="13" t="s">
        <v>814</v>
      </c>
      <c r="C87" s="4" t="s">
        <v>20</v>
      </c>
      <c r="D87" s="7">
        <v>154.1</v>
      </c>
      <c r="E87" s="25">
        <v>8504500</v>
      </c>
      <c r="F87" s="25">
        <v>1310543450</v>
      </c>
      <c r="G87" s="90"/>
    </row>
    <row r="88" spans="1:7" ht="110.25">
      <c r="A88" s="17"/>
      <c r="B88" s="13" t="s">
        <v>814</v>
      </c>
      <c r="C88" s="4" t="s">
        <v>20</v>
      </c>
      <c r="D88" s="10">
        <v>143.5</v>
      </c>
      <c r="E88" s="25">
        <v>8504500</v>
      </c>
      <c r="F88" s="25">
        <v>1220395750</v>
      </c>
      <c r="G88" s="93"/>
    </row>
    <row r="89" spans="1:7" ht="94.5">
      <c r="A89" s="11"/>
      <c r="B89" s="48" t="s">
        <v>802</v>
      </c>
      <c r="C89" s="4" t="s">
        <v>20</v>
      </c>
      <c r="D89" s="7">
        <v>90.8</v>
      </c>
      <c r="E89" s="25">
        <v>14174000</v>
      </c>
      <c r="F89" s="25">
        <v>1286999200</v>
      </c>
      <c r="G89" s="90"/>
    </row>
    <row r="90" spans="1:7" ht="94.5">
      <c r="A90" s="17"/>
      <c r="B90" s="48" t="s">
        <v>803</v>
      </c>
      <c r="C90" s="4" t="s">
        <v>20</v>
      </c>
      <c r="D90" s="7">
        <v>243.04</v>
      </c>
      <c r="E90" s="25">
        <v>14174000</v>
      </c>
      <c r="F90" s="25">
        <v>3444848960</v>
      </c>
      <c r="G90" s="90"/>
    </row>
    <row r="91" spans="1:7" ht="110.25">
      <c r="A91" s="55"/>
      <c r="B91" s="29" t="s">
        <v>801</v>
      </c>
      <c r="C91" s="37" t="s">
        <v>20</v>
      </c>
      <c r="D91" s="84">
        <v>98.66</v>
      </c>
      <c r="E91" s="125">
        <v>7087000</v>
      </c>
      <c r="F91" s="125">
        <v>699203420</v>
      </c>
      <c r="G91" s="101"/>
    </row>
    <row r="92" spans="1:7" ht="94.5">
      <c r="A92" s="11"/>
      <c r="B92" s="176" t="s">
        <v>897</v>
      </c>
      <c r="C92" s="4" t="s">
        <v>20</v>
      </c>
      <c r="D92" s="9">
        <v>160</v>
      </c>
      <c r="E92" s="172">
        <v>6791600</v>
      </c>
      <c r="F92" s="125">
        <v>1086656000</v>
      </c>
      <c r="G92" s="93"/>
    </row>
    <row r="93" spans="1:7" ht="47.25">
      <c r="A93" s="11"/>
      <c r="B93" s="184" t="s">
        <v>953</v>
      </c>
      <c r="C93" s="37" t="s">
        <v>20</v>
      </c>
      <c r="D93" s="7">
        <v>79.8</v>
      </c>
      <c r="E93" s="172">
        <v>1841000</v>
      </c>
      <c r="F93" s="25">
        <v>146911800</v>
      </c>
      <c r="G93" s="90"/>
    </row>
    <row r="94" spans="1:7" ht="18.75">
      <c r="A94" s="11"/>
      <c r="B94" s="29" t="s">
        <v>804</v>
      </c>
      <c r="C94" s="4" t="s">
        <v>20</v>
      </c>
      <c r="D94" s="7">
        <v>15.6</v>
      </c>
      <c r="E94" s="130"/>
      <c r="F94" s="25"/>
      <c r="G94" s="103" t="s">
        <v>805</v>
      </c>
    </row>
    <row r="95" spans="1:7" ht="126">
      <c r="A95" s="11"/>
      <c r="B95" s="48" t="s">
        <v>815</v>
      </c>
      <c r="C95" s="37" t="s">
        <v>20</v>
      </c>
      <c r="D95" s="7">
        <v>3.0999999999999996</v>
      </c>
      <c r="E95" s="172">
        <v>7583500</v>
      </c>
      <c r="F95" s="25">
        <v>23508849.999999996</v>
      </c>
      <c r="G95" s="93"/>
    </row>
    <row r="96" spans="1:7" ht="18.75">
      <c r="A96" s="26"/>
      <c r="B96" s="29" t="s">
        <v>804</v>
      </c>
      <c r="C96" s="4" t="s">
        <v>20</v>
      </c>
      <c r="D96" s="10">
        <v>11.9</v>
      </c>
      <c r="E96" s="130"/>
      <c r="F96" s="25"/>
      <c r="G96" s="103" t="s">
        <v>805</v>
      </c>
    </row>
    <row r="97" spans="1:7" ht="110.25">
      <c r="A97" s="26"/>
      <c r="B97" s="13" t="s">
        <v>816</v>
      </c>
      <c r="C97" s="37" t="s">
        <v>20</v>
      </c>
      <c r="D97" s="10">
        <v>3.7</v>
      </c>
      <c r="E97" s="25">
        <v>10187500</v>
      </c>
      <c r="F97" s="25">
        <v>37693750</v>
      </c>
      <c r="G97" s="93"/>
    </row>
    <row r="98" spans="1:7" ht="18.75">
      <c r="A98" s="11"/>
      <c r="B98" s="29" t="s">
        <v>804</v>
      </c>
      <c r="C98" s="4" t="s">
        <v>20</v>
      </c>
      <c r="D98" s="7">
        <v>16</v>
      </c>
      <c r="E98" s="25"/>
      <c r="F98" s="25"/>
      <c r="G98" s="103" t="s">
        <v>805</v>
      </c>
    </row>
    <row r="99" spans="1:7" ht="78.75">
      <c r="A99" s="17"/>
      <c r="B99" s="48" t="s">
        <v>807</v>
      </c>
      <c r="C99" s="37" t="s">
        <v>20</v>
      </c>
      <c r="D99" s="7">
        <v>6.300000000000001</v>
      </c>
      <c r="E99" s="25">
        <v>33958000</v>
      </c>
      <c r="F99" s="25">
        <v>213935400.00000003</v>
      </c>
      <c r="G99" s="90"/>
    </row>
    <row r="100" spans="1:7" ht="18.75">
      <c r="A100" s="11"/>
      <c r="B100" s="29" t="s">
        <v>804</v>
      </c>
      <c r="C100" s="4" t="s">
        <v>20</v>
      </c>
      <c r="D100" s="7">
        <v>8</v>
      </c>
      <c r="E100" s="25"/>
      <c r="F100" s="25"/>
      <c r="G100" s="90" t="s">
        <v>805</v>
      </c>
    </row>
    <row r="101" spans="1:7" ht="78.75">
      <c r="A101" s="17"/>
      <c r="B101" s="48" t="s">
        <v>806</v>
      </c>
      <c r="C101" s="37" t="s">
        <v>20</v>
      </c>
      <c r="D101" s="7">
        <v>3.0999999999999996</v>
      </c>
      <c r="E101" s="25">
        <v>33958000</v>
      </c>
      <c r="F101" s="25">
        <v>105269799.99999999</v>
      </c>
      <c r="G101" s="90"/>
    </row>
    <row r="102" spans="1:7" ht="126">
      <c r="A102" s="11"/>
      <c r="B102" s="175" t="s">
        <v>959</v>
      </c>
      <c r="C102" s="37" t="s">
        <v>20</v>
      </c>
      <c r="D102" s="7">
        <v>213.8</v>
      </c>
      <c r="E102" s="172">
        <v>5205600</v>
      </c>
      <c r="F102" s="25">
        <v>1112957280</v>
      </c>
      <c r="G102" s="90"/>
    </row>
    <row r="103" spans="1:7" ht="94.5">
      <c r="A103" s="11"/>
      <c r="B103" s="176" t="s">
        <v>897</v>
      </c>
      <c r="C103" s="37" t="s">
        <v>20</v>
      </c>
      <c r="D103" s="7">
        <v>160</v>
      </c>
      <c r="E103" s="172">
        <v>6791600</v>
      </c>
      <c r="F103" s="25">
        <v>1086656000</v>
      </c>
      <c r="G103" s="90"/>
    </row>
    <row r="104" spans="1:7" ht="18.75">
      <c r="A104" s="16"/>
      <c r="B104" s="29" t="s">
        <v>804</v>
      </c>
      <c r="C104" s="4" t="s">
        <v>20</v>
      </c>
      <c r="D104" s="7">
        <v>8</v>
      </c>
      <c r="E104" s="25"/>
      <c r="F104" s="24"/>
      <c r="G104" s="90" t="s">
        <v>805</v>
      </c>
    </row>
    <row r="105" spans="1:7" ht="78.75">
      <c r="A105" s="11"/>
      <c r="B105" s="48" t="s">
        <v>806</v>
      </c>
      <c r="C105" s="37" t="s">
        <v>20</v>
      </c>
      <c r="D105" s="10">
        <v>4.699999999999999</v>
      </c>
      <c r="E105" s="25">
        <v>33958000</v>
      </c>
      <c r="F105" s="24">
        <v>159602599.99999997</v>
      </c>
      <c r="G105" s="90"/>
    </row>
    <row r="106" spans="1:7" ht="18.75">
      <c r="A106" s="11"/>
      <c r="B106" s="29" t="s">
        <v>804</v>
      </c>
      <c r="C106" s="4" t="s">
        <v>20</v>
      </c>
      <c r="D106" s="7">
        <v>3.4</v>
      </c>
      <c r="E106" s="25"/>
      <c r="F106" s="25"/>
      <c r="G106" s="90" t="s">
        <v>805</v>
      </c>
    </row>
    <row r="107" spans="1:7" ht="78.75">
      <c r="A107" s="40"/>
      <c r="B107" s="48" t="s">
        <v>806</v>
      </c>
      <c r="C107" s="37" t="s">
        <v>20</v>
      </c>
      <c r="D107" s="7">
        <v>0.6</v>
      </c>
      <c r="E107" s="25">
        <v>33958000</v>
      </c>
      <c r="F107" s="25">
        <v>20374800</v>
      </c>
      <c r="G107" s="90"/>
    </row>
    <row r="108" spans="1:7" ht="18.75">
      <c r="A108" s="16"/>
      <c r="B108" s="29" t="s">
        <v>804</v>
      </c>
      <c r="C108" s="4" t="s">
        <v>20</v>
      </c>
      <c r="D108" s="7">
        <v>13.2</v>
      </c>
      <c r="E108" s="25"/>
      <c r="F108" s="25"/>
      <c r="G108" s="90" t="s">
        <v>805</v>
      </c>
    </row>
    <row r="109" spans="1:7" ht="94.5">
      <c r="A109" s="11"/>
      <c r="B109" s="176" t="s">
        <v>896</v>
      </c>
      <c r="C109" s="37" t="s">
        <v>20</v>
      </c>
      <c r="D109" s="21">
        <v>64.6</v>
      </c>
      <c r="E109" s="172">
        <v>6791600</v>
      </c>
      <c r="F109" s="25">
        <v>438737359.99999994</v>
      </c>
      <c r="G109" s="90"/>
    </row>
    <row r="110" spans="1:7" ht="18.75">
      <c r="A110" s="17"/>
      <c r="B110" s="29" t="s">
        <v>804</v>
      </c>
      <c r="C110" s="4" t="s">
        <v>20</v>
      </c>
      <c r="D110" s="7">
        <v>13.1</v>
      </c>
      <c r="E110" s="25"/>
      <c r="F110" s="25"/>
      <c r="G110" s="90" t="s">
        <v>805</v>
      </c>
    </row>
    <row r="111" spans="1:7" ht="94.5">
      <c r="A111" s="16"/>
      <c r="B111" s="176" t="s">
        <v>896</v>
      </c>
      <c r="C111" s="37" t="s">
        <v>20</v>
      </c>
      <c r="D111" s="7">
        <v>76.60000000000001</v>
      </c>
      <c r="E111" s="172">
        <v>6791600</v>
      </c>
      <c r="F111" s="25">
        <v>520236560.00000006</v>
      </c>
      <c r="G111" s="90"/>
    </row>
    <row r="112" spans="1:7" ht="18.75">
      <c r="A112" s="17"/>
      <c r="B112" s="29" t="s">
        <v>804</v>
      </c>
      <c r="C112" s="4" t="s">
        <v>20</v>
      </c>
      <c r="D112" s="7">
        <v>8</v>
      </c>
      <c r="E112" s="25"/>
      <c r="F112" s="25"/>
      <c r="G112" s="90" t="s">
        <v>805</v>
      </c>
    </row>
    <row r="113" spans="1:7" ht="78.75">
      <c r="A113" s="11"/>
      <c r="B113" s="48" t="s">
        <v>806</v>
      </c>
      <c r="C113" s="37" t="s">
        <v>20</v>
      </c>
      <c r="D113" s="7">
        <v>1.9000000000000004</v>
      </c>
      <c r="E113" s="25">
        <v>33958000</v>
      </c>
      <c r="F113" s="25">
        <v>64520200.000000015</v>
      </c>
      <c r="G113" s="90"/>
    </row>
    <row r="114" spans="1:7" ht="126">
      <c r="A114" s="11"/>
      <c r="B114" s="48" t="s">
        <v>958</v>
      </c>
      <c r="C114" s="37" t="s">
        <v>20</v>
      </c>
      <c r="D114" s="7">
        <v>147.9</v>
      </c>
      <c r="E114" s="172">
        <v>5205600</v>
      </c>
      <c r="F114" s="25">
        <v>769908240</v>
      </c>
      <c r="G114" s="90"/>
    </row>
    <row r="115" spans="1:7" ht="18.75">
      <c r="A115" s="17"/>
      <c r="B115" s="29" t="s">
        <v>804</v>
      </c>
      <c r="C115" s="4" t="s">
        <v>20</v>
      </c>
      <c r="D115" s="84">
        <v>8</v>
      </c>
      <c r="E115" s="125"/>
      <c r="F115" s="125"/>
      <c r="G115" s="101" t="s">
        <v>805</v>
      </c>
    </row>
    <row r="116" spans="1:7" ht="78.75">
      <c r="A116" s="17"/>
      <c r="B116" s="48" t="s">
        <v>806</v>
      </c>
      <c r="C116" s="4" t="s">
        <v>20</v>
      </c>
      <c r="D116" s="84">
        <v>0.9</v>
      </c>
      <c r="E116" s="125">
        <v>33958000</v>
      </c>
      <c r="F116" s="125">
        <v>30562200</v>
      </c>
      <c r="G116" s="101"/>
    </row>
    <row r="117" spans="1:7" ht="18.75">
      <c r="A117" s="11"/>
      <c r="B117" s="29" t="s">
        <v>804</v>
      </c>
      <c r="C117" s="4" t="s">
        <v>20</v>
      </c>
      <c r="D117" s="7">
        <v>13.5</v>
      </c>
      <c r="E117" s="25"/>
      <c r="F117" s="152"/>
      <c r="G117" s="90"/>
    </row>
    <row r="118" spans="1:7" ht="94.5">
      <c r="A118" s="11"/>
      <c r="B118" s="176" t="s">
        <v>897</v>
      </c>
      <c r="C118" s="4" t="s">
        <v>20</v>
      </c>
      <c r="D118" s="10">
        <v>28.200000000000003</v>
      </c>
      <c r="E118" s="172">
        <v>6791600</v>
      </c>
      <c r="F118" s="25">
        <v>191523120.00000003</v>
      </c>
      <c r="G118" s="90"/>
    </row>
    <row r="119" spans="1:7" ht="18.75">
      <c r="A119" s="19"/>
      <c r="B119" s="13" t="s">
        <v>804</v>
      </c>
      <c r="C119" s="4" t="s">
        <v>20</v>
      </c>
      <c r="D119" s="7">
        <v>2.6</v>
      </c>
      <c r="E119" s="25"/>
      <c r="F119" s="25"/>
      <c r="G119" s="90" t="s">
        <v>805</v>
      </c>
    </row>
    <row r="120" spans="1:7" ht="78.75">
      <c r="A120" s="11"/>
      <c r="B120" s="13" t="s">
        <v>806</v>
      </c>
      <c r="C120" s="4" t="s">
        <v>20</v>
      </c>
      <c r="D120" s="7">
        <v>2.2</v>
      </c>
      <c r="E120" s="25">
        <v>33958000</v>
      </c>
      <c r="F120" s="25">
        <v>74707600</v>
      </c>
      <c r="G120" s="90"/>
    </row>
    <row r="121" spans="1:7" ht="18.75">
      <c r="A121" s="17"/>
      <c r="B121" s="13" t="s">
        <v>804</v>
      </c>
      <c r="C121" s="4" t="s">
        <v>20</v>
      </c>
      <c r="D121" s="21">
        <v>12.1</v>
      </c>
      <c r="E121" s="25"/>
      <c r="F121" s="25"/>
      <c r="G121" s="90" t="s">
        <v>805</v>
      </c>
    </row>
    <row r="122" spans="1:7" ht="110.25">
      <c r="A122" s="17"/>
      <c r="B122" s="13" t="s">
        <v>818</v>
      </c>
      <c r="C122" s="4" t="s">
        <v>20</v>
      </c>
      <c r="D122" s="21">
        <v>5.000000000000002</v>
      </c>
      <c r="E122" s="25">
        <v>10187500</v>
      </c>
      <c r="F122" s="25">
        <v>50937500.000000015</v>
      </c>
      <c r="G122" s="90"/>
    </row>
    <row r="123" spans="1:7" ht="18.75">
      <c r="A123" s="17"/>
      <c r="B123" s="13" t="s">
        <v>804</v>
      </c>
      <c r="C123" s="120" t="s">
        <v>20</v>
      </c>
      <c r="D123" s="7">
        <v>12</v>
      </c>
      <c r="E123" s="25"/>
      <c r="F123" s="25"/>
      <c r="G123" s="90"/>
    </row>
    <row r="124" spans="1:7" ht="110.25">
      <c r="A124" s="17"/>
      <c r="B124" s="13" t="s">
        <v>817</v>
      </c>
      <c r="C124" s="4" t="s">
        <v>20</v>
      </c>
      <c r="D124" s="7">
        <v>4.399999999999999</v>
      </c>
      <c r="E124" s="25">
        <v>10187500</v>
      </c>
      <c r="F124" s="25">
        <v>44824999.999999985</v>
      </c>
      <c r="G124" s="90"/>
    </row>
    <row r="125" spans="1:7" ht="15.75">
      <c r="A125" s="17"/>
      <c r="B125" s="13" t="s">
        <v>804</v>
      </c>
      <c r="C125" s="4"/>
      <c r="D125" s="7">
        <v>12</v>
      </c>
      <c r="E125" s="25"/>
      <c r="F125" s="25"/>
      <c r="G125" s="90" t="s">
        <v>805</v>
      </c>
    </row>
    <row r="126" spans="1:7" ht="110.25">
      <c r="A126" s="11"/>
      <c r="B126" s="13" t="s">
        <v>816</v>
      </c>
      <c r="C126" s="4" t="s">
        <v>20</v>
      </c>
      <c r="D126" s="7">
        <v>3.0999999999999996</v>
      </c>
      <c r="E126" s="25">
        <v>10187500</v>
      </c>
      <c r="F126" s="25">
        <v>31581249.999999996</v>
      </c>
      <c r="G126" s="90"/>
    </row>
    <row r="127" spans="1:7" ht="15.75">
      <c r="A127" s="17"/>
      <c r="B127" s="13" t="s">
        <v>804</v>
      </c>
      <c r="C127" s="4"/>
      <c r="D127" s="7">
        <v>12</v>
      </c>
      <c r="E127" s="25"/>
      <c r="F127" s="25"/>
      <c r="G127" s="90"/>
    </row>
    <row r="128" spans="1:7" ht="110.25">
      <c r="A128" s="17"/>
      <c r="B128" s="13" t="s">
        <v>817</v>
      </c>
      <c r="C128" s="4" t="s">
        <v>20</v>
      </c>
      <c r="D128" s="7">
        <v>5.6</v>
      </c>
      <c r="E128" s="25">
        <v>10187500</v>
      </c>
      <c r="F128" s="25">
        <v>57050000</v>
      </c>
      <c r="G128" s="90"/>
    </row>
    <row r="129" spans="1:7" ht="47.25">
      <c r="A129" s="11"/>
      <c r="B129" s="39" t="s">
        <v>953</v>
      </c>
      <c r="C129" s="4" t="s">
        <v>20</v>
      </c>
      <c r="D129" s="7">
        <v>81.3</v>
      </c>
      <c r="E129" s="172">
        <v>1841000</v>
      </c>
      <c r="F129" s="25">
        <v>149673300</v>
      </c>
      <c r="G129" s="90"/>
    </row>
    <row r="130" spans="1:7" ht="47.25">
      <c r="A130" s="16"/>
      <c r="B130" s="39" t="s">
        <v>953</v>
      </c>
      <c r="C130" s="4" t="s">
        <v>20</v>
      </c>
      <c r="D130" s="7">
        <v>79.9</v>
      </c>
      <c r="E130" s="172">
        <v>1841000</v>
      </c>
      <c r="F130" s="25">
        <v>147095900</v>
      </c>
      <c r="G130" s="90"/>
    </row>
    <row r="131" spans="1:7" ht="47.25">
      <c r="A131" s="11"/>
      <c r="B131" s="39" t="s">
        <v>953</v>
      </c>
      <c r="C131" s="4" t="s">
        <v>20</v>
      </c>
      <c r="D131" s="7">
        <v>80.4</v>
      </c>
      <c r="E131" s="172">
        <v>1841000</v>
      </c>
      <c r="F131" s="25">
        <v>148016400</v>
      </c>
      <c r="G131" s="90"/>
    </row>
    <row r="132" spans="1:7" ht="47.25">
      <c r="A132" s="11"/>
      <c r="B132" s="39" t="s">
        <v>953</v>
      </c>
      <c r="C132" s="4" t="s">
        <v>20</v>
      </c>
      <c r="D132" s="7">
        <v>80</v>
      </c>
      <c r="E132" s="172">
        <v>1841000</v>
      </c>
      <c r="F132" s="25">
        <v>147280000</v>
      </c>
      <c r="G132" s="90"/>
    </row>
    <row r="133" spans="1:7" ht="110.25">
      <c r="A133" s="11"/>
      <c r="B133" s="39" t="s">
        <v>823</v>
      </c>
      <c r="C133" s="4" t="s">
        <v>20</v>
      </c>
      <c r="D133" s="7">
        <v>92.9</v>
      </c>
      <c r="E133" s="25">
        <v>7087000</v>
      </c>
      <c r="F133" s="25">
        <v>658382300</v>
      </c>
      <c r="G133" s="90"/>
    </row>
    <row r="134" spans="1:7" ht="47.25">
      <c r="A134" s="11"/>
      <c r="B134" s="13" t="s">
        <v>953</v>
      </c>
      <c r="C134" s="4" t="s">
        <v>20</v>
      </c>
      <c r="D134" s="7">
        <v>79.7</v>
      </c>
      <c r="E134" s="172">
        <v>1841000</v>
      </c>
      <c r="F134" s="25">
        <v>146727700</v>
      </c>
      <c r="G134" s="90"/>
    </row>
    <row r="135" spans="1:7" ht="47.25">
      <c r="A135" s="11"/>
      <c r="B135" s="13" t="s">
        <v>953</v>
      </c>
      <c r="C135" s="4" t="s">
        <v>20</v>
      </c>
      <c r="D135" s="7">
        <v>79.9</v>
      </c>
      <c r="E135" s="172">
        <v>1841000</v>
      </c>
      <c r="F135" s="25">
        <v>147095900</v>
      </c>
      <c r="G135" s="90"/>
    </row>
    <row r="136" spans="1:7" ht="47.25">
      <c r="A136" s="11"/>
      <c r="B136" s="13" t="s">
        <v>953</v>
      </c>
      <c r="C136" s="4" t="s">
        <v>20</v>
      </c>
      <c r="D136" s="7">
        <v>79.7</v>
      </c>
      <c r="E136" s="172">
        <v>1841000</v>
      </c>
      <c r="F136" s="25">
        <v>146727700</v>
      </c>
      <c r="G136" s="90"/>
    </row>
    <row r="137" spans="1:7" ht="47.25">
      <c r="A137" s="11"/>
      <c r="B137" s="13" t="s">
        <v>953</v>
      </c>
      <c r="C137" s="4" t="s">
        <v>20</v>
      </c>
      <c r="D137" s="7">
        <v>79.8</v>
      </c>
      <c r="E137" s="172">
        <v>1841000</v>
      </c>
      <c r="F137" s="25">
        <v>146911800</v>
      </c>
      <c r="G137" s="90"/>
    </row>
    <row r="138" spans="1:7" ht="47.25">
      <c r="A138" s="11"/>
      <c r="B138" s="13" t="s">
        <v>1142</v>
      </c>
      <c r="C138" s="4" t="s">
        <v>20</v>
      </c>
      <c r="D138" s="7">
        <v>79.9</v>
      </c>
      <c r="E138" s="172">
        <v>1841000</v>
      </c>
      <c r="F138" s="24">
        <v>147095900</v>
      </c>
      <c r="G138" s="90"/>
    </row>
    <row r="139" spans="1:7" ht="94.5">
      <c r="A139" s="11"/>
      <c r="B139" s="13" t="s">
        <v>803</v>
      </c>
      <c r="C139" s="4" t="s">
        <v>20</v>
      </c>
      <c r="D139" s="7">
        <v>66.6</v>
      </c>
      <c r="E139" s="25">
        <v>14174000</v>
      </c>
      <c r="F139" s="25">
        <v>943988399.9999999</v>
      </c>
      <c r="G139" s="90"/>
    </row>
    <row r="140" spans="1:7" ht="31.5">
      <c r="A140" s="11"/>
      <c r="B140" s="13" t="s">
        <v>820</v>
      </c>
      <c r="C140" s="4" t="s">
        <v>20</v>
      </c>
      <c r="D140" s="7">
        <v>198.1</v>
      </c>
      <c r="E140" s="172">
        <v>2041000</v>
      </c>
      <c r="F140" s="25">
        <v>404322100</v>
      </c>
      <c r="G140" s="90"/>
    </row>
    <row r="141" spans="1:7" ht="47.25">
      <c r="A141" s="17"/>
      <c r="B141" s="12" t="s">
        <v>957</v>
      </c>
      <c r="C141" s="4" t="s">
        <v>20</v>
      </c>
      <c r="D141" s="7">
        <v>279.70000000000005</v>
      </c>
      <c r="E141" s="172">
        <v>1841000</v>
      </c>
      <c r="F141" s="25">
        <v>514927700.00000006</v>
      </c>
      <c r="G141" s="90"/>
    </row>
    <row r="142" spans="1:7" ht="110.25">
      <c r="A142" s="55"/>
      <c r="B142" s="29" t="s">
        <v>956</v>
      </c>
      <c r="C142" s="37" t="s">
        <v>20</v>
      </c>
      <c r="D142" s="84">
        <v>1006.6</v>
      </c>
      <c r="E142" s="125">
        <v>24228000</v>
      </c>
      <c r="F142" s="125">
        <v>24387904800</v>
      </c>
      <c r="G142" s="101"/>
    </row>
    <row r="143" spans="1:7" ht="47.25">
      <c r="A143" s="11"/>
      <c r="B143" s="13" t="s">
        <v>1142</v>
      </c>
      <c r="C143" s="4" t="s">
        <v>20</v>
      </c>
      <c r="D143" s="7">
        <v>79.8</v>
      </c>
      <c r="E143" s="172">
        <v>1841000</v>
      </c>
      <c r="F143" s="25">
        <v>146911800</v>
      </c>
      <c r="G143" s="90"/>
    </row>
    <row r="144" spans="1:7" ht="126">
      <c r="A144" s="11"/>
      <c r="B144" s="13" t="s">
        <v>799</v>
      </c>
      <c r="C144" s="4" t="s">
        <v>20</v>
      </c>
      <c r="D144" s="10">
        <v>330</v>
      </c>
      <c r="E144" s="24">
        <v>5102000</v>
      </c>
      <c r="F144" s="25">
        <v>1683660000</v>
      </c>
      <c r="G144" s="93"/>
    </row>
    <row r="145" spans="1:7" ht="141.75">
      <c r="A145" s="11"/>
      <c r="B145" s="48" t="s">
        <v>944</v>
      </c>
      <c r="C145" s="20"/>
      <c r="D145" s="9">
        <v>101.6</v>
      </c>
      <c r="E145" s="172">
        <v>2551000</v>
      </c>
      <c r="F145" s="25">
        <v>259181600</v>
      </c>
      <c r="G145" s="93"/>
    </row>
    <row r="146" spans="1:7" ht="141.75">
      <c r="A146" s="17"/>
      <c r="B146" s="48" t="s">
        <v>947</v>
      </c>
      <c r="C146" s="4" t="s">
        <v>20</v>
      </c>
      <c r="D146" s="9">
        <v>75.7</v>
      </c>
      <c r="E146" s="172">
        <v>2551000</v>
      </c>
      <c r="F146" s="25">
        <v>193110700</v>
      </c>
      <c r="G146" s="93"/>
    </row>
    <row r="147" spans="1:7" ht="78.75">
      <c r="A147" s="11"/>
      <c r="B147" s="13" t="s">
        <v>821</v>
      </c>
      <c r="C147" s="4" t="s">
        <v>20</v>
      </c>
      <c r="D147" s="7">
        <v>49.4</v>
      </c>
      <c r="E147" s="25">
        <v>31014000</v>
      </c>
      <c r="F147" s="25">
        <v>1532091600</v>
      </c>
      <c r="G147" s="90"/>
    </row>
    <row r="148" spans="1:7" ht="18.75">
      <c r="A148" s="17"/>
      <c r="B148" s="13" t="s">
        <v>819</v>
      </c>
      <c r="C148" s="4" t="s">
        <v>20</v>
      </c>
      <c r="D148" s="9">
        <v>13.4</v>
      </c>
      <c r="E148" s="25"/>
      <c r="F148" s="25"/>
      <c r="G148" s="93"/>
    </row>
    <row r="149" spans="1:7" ht="94.5">
      <c r="A149" s="11"/>
      <c r="B149" s="176" t="s">
        <v>896</v>
      </c>
      <c r="C149" s="4" t="s">
        <v>20</v>
      </c>
      <c r="D149" s="9">
        <v>52.50000000000001</v>
      </c>
      <c r="E149" s="172">
        <v>6791600</v>
      </c>
      <c r="F149" s="25">
        <v>356559000.00000006</v>
      </c>
      <c r="G149" s="93"/>
    </row>
    <row r="150" spans="1:7" ht="110.25">
      <c r="A150" s="17"/>
      <c r="B150" s="13" t="s">
        <v>991</v>
      </c>
      <c r="C150" s="4" t="s">
        <v>20</v>
      </c>
      <c r="D150" s="7">
        <v>55.8</v>
      </c>
      <c r="E150" s="172">
        <v>22164000</v>
      </c>
      <c r="F150" s="25">
        <v>1236751200</v>
      </c>
      <c r="G150" s="90"/>
    </row>
    <row r="151" spans="1:7" ht="126">
      <c r="A151" s="11"/>
      <c r="B151" s="13" t="s">
        <v>799</v>
      </c>
      <c r="C151" s="4" t="s">
        <v>20</v>
      </c>
      <c r="D151" s="7">
        <v>100</v>
      </c>
      <c r="E151" s="25">
        <v>5102000</v>
      </c>
      <c r="F151" s="25">
        <v>510200000</v>
      </c>
      <c r="G151" s="90"/>
    </row>
    <row r="152" spans="1:7" ht="141.75">
      <c r="A152" s="17"/>
      <c r="B152" s="48" t="s">
        <v>944</v>
      </c>
      <c r="C152" s="4" t="s">
        <v>20</v>
      </c>
      <c r="D152" s="7">
        <v>94.69999999999999</v>
      </c>
      <c r="E152" s="172">
        <v>2551000</v>
      </c>
      <c r="F152" s="25">
        <v>241579699.99999997</v>
      </c>
      <c r="G152" s="90"/>
    </row>
    <row r="153" spans="1:7" ht="141.75">
      <c r="A153" s="11"/>
      <c r="B153" s="29" t="s">
        <v>937</v>
      </c>
      <c r="C153" s="37" t="s">
        <v>20</v>
      </c>
      <c r="D153" s="84">
        <v>42.2</v>
      </c>
      <c r="E153" s="172">
        <v>4420000</v>
      </c>
      <c r="F153" s="125">
        <v>186524000</v>
      </c>
      <c r="G153" s="101"/>
    </row>
    <row r="154" spans="1:7" ht="31.5">
      <c r="A154" s="11"/>
      <c r="B154" s="13" t="s">
        <v>820</v>
      </c>
      <c r="C154" s="4" t="s">
        <v>20</v>
      </c>
      <c r="D154" s="84">
        <v>573</v>
      </c>
      <c r="E154" s="172">
        <v>2041000</v>
      </c>
      <c r="F154" s="25">
        <v>1169493000</v>
      </c>
      <c r="G154" s="93"/>
    </row>
    <row r="155" spans="1:7" ht="47.25">
      <c r="A155" s="17"/>
      <c r="B155" s="13" t="s">
        <v>953</v>
      </c>
      <c r="C155" s="4" t="s">
        <v>20</v>
      </c>
      <c r="D155" s="9">
        <v>581.5999999999999</v>
      </c>
      <c r="E155" s="172">
        <v>1841000</v>
      </c>
      <c r="F155" s="25">
        <v>1070725599.9999999</v>
      </c>
      <c r="G155" s="93"/>
    </row>
    <row r="156" spans="1:7" ht="15.75">
      <c r="A156" s="11"/>
      <c r="B156" s="13" t="s">
        <v>819</v>
      </c>
      <c r="C156" s="4"/>
      <c r="D156" s="7">
        <v>13.7</v>
      </c>
      <c r="E156" s="25"/>
      <c r="F156" s="25"/>
      <c r="G156" s="90"/>
    </row>
    <row r="157" spans="1:7" ht="94.5">
      <c r="A157" s="17"/>
      <c r="B157" s="176" t="s">
        <v>896</v>
      </c>
      <c r="C157" s="4" t="s">
        <v>20</v>
      </c>
      <c r="D157" s="10">
        <v>40.2</v>
      </c>
      <c r="E157" s="173">
        <v>6791600</v>
      </c>
      <c r="F157" s="25">
        <v>273022320</v>
      </c>
      <c r="G157" s="93"/>
    </row>
    <row r="158" spans="1:7" ht="126">
      <c r="A158" s="11"/>
      <c r="B158" s="13" t="s">
        <v>799</v>
      </c>
      <c r="C158" s="4" t="s">
        <v>20</v>
      </c>
      <c r="D158" s="9">
        <v>80</v>
      </c>
      <c r="E158" s="25">
        <v>5102000</v>
      </c>
      <c r="F158" s="25">
        <v>408160000</v>
      </c>
      <c r="G158" s="100"/>
    </row>
    <row r="159" spans="1:7" ht="141.75">
      <c r="A159" s="11"/>
      <c r="B159" s="48" t="s">
        <v>944</v>
      </c>
      <c r="C159" s="4" t="s">
        <v>20</v>
      </c>
      <c r="D159" s="9">
        <v>169.9</v>
      </c>
      <c r="E159" s="172">
        <v>2551000</v>
      </c>
      <c r="F159" s="25">
        <v>433414900</v>
      </c>
      <c r="G159" s="100"/>
    </row>
    <row r="160" spans="1:7" ht="141.75">
      <c r="A160" s="30"/>
      <c r="B160" s="29" t="s">
        <v>947</v>
      </c>
      <c r="C160" s="37" t="s">
        <v>20</v>
      </c>
      <c r="D160" s="50">
        <v>86</v>
      </c>
      <c r="E160" s="172">
        <v>2551000</v>
      </c>
      <c r="F160" s="24">
        <v>219386000</v>
      </c>
      <c r="G160" s="139"/>
    </row>
    <row r="161" spans="1:7" ht="141.75">
      <c r="A161" s="11"/>
      <c r="B161" s="29" t="s">
        <v>1143</v>
      </c>
      <c r="C161" s="37" t="s">
        <v>20</v>
      </c>
      <c r="D161" s="50">
        <v>172.2</v>
      </c>
      <c r="E161" s="172">
        <v>2551000</v>
      </c>
      <c r="F161" s="24">
        <v>439282200</v>
      </c>
      <c r="G161" s="139"/>
    </row>
    <row r="162" spans="1:7" ht="94.5">
      <c r="A162" s="182"/>
      <c r="B162" s="28" t="s">
        <v>995</v>
      </c>
      <c r="C162" s="37" t="s">
        <v>20</v>
      </c>
      <c r="D162" s="50">
        <v>82</v>
      </c>
      <c r="E162" s="126">
        <v>31014000</v>
      </c>
      <c r="F162" s="125">
        <v>2543148000</v>
      </c>
      <c r="G162" s="97"/>
    </row>
    <row r="163" spans="1:7" ht="126">
      <c r="A163" s="11"/>
      <c r="B163" s="13" t="s">
        <v>799</v>
      </c>
      <c r="C163" s="4" t="s">
        <v>20</v>
      </c>
      <c r="D163" s="9">
        <v>100</v>
      </c>
      <c r="E163" s="25">
        <v>5102000</v>
      </c>
      <c r="F163" s="25">
        <v>510200000</v>
      </c>
      <c r="G163" s="93"/>
    </row>
    <row r="164" spans="1:7" ht="141.75">
      <c r="A164" s="11"/>
      <c r="B164" s="48" t="s">
        <v>944</v>
      </c>
      <c r="C164" s="4" t="s">
        <v>20</v>
      </c>
      <c r="D164" s="9">
        <v>94.7</v>
      </c>
      <c r="E164" s="172">
        <v>2551000</v>
      </c>
      <c r="F164" s="25">
        <v>241579700</v>
      </c>
      <c r="G164" s="93"/>
    </row>
    <row r="165" spans="1:7" ht="94.5">
      <c r="A165" s="11"/>
      <c r="B165" s="48" t="s">
        <v>803</v>
      </c>
      <c r="C165" s="4" t="s">
        <v>20</v>
      </c>
      <c r="D165" s="9">
        <v>581.9</v>
      </c>
      <c r="E165" s="25">
        <v>14174000</v>
      </c>
      <c r="F165" s="25">
        <v>8247850600</v>
      </c>
      <c r="G165" s="93"/>
    </row>
    <row r="166" spans="1:7" ht="126">
      <c r="A166" s="30"/>
      <c r="B166" s="48" t="s">
        <v>789</v>
      </c>
      <c r="C166" s="37" t="s">
        <v>20</v>
      </c>
      <c r="D166" s="60">
        <v>79.3</v>
      </c>
      <c r="E166" s="130">
        <v>5670000</v>
      </c>
      <c r="F166" s="130">
        <v>449631000</v>
      </c>
      <c r="G166" s="97"/>
    </row>
    <row r="167" spans="1:7" ht="141.75">
      <c r="A167" s="30"/>
      <c r="B167" s="48" t="s">
        <v>940</v>
      </c>
      <c r="C167" s="37" t="s">
        <v>20</v>
      </c>
      <c r="D167" s="60">
        <v>25.8</v>
      </c>
      <c r="E167" s="172">
        <v>4420000</v>
      </c>
      <c r="F167" s="130">
        <v>114036000</v>
      </c>
      <c r="G167" s="106"/>
    </row>
    <row r="168" spans="1:7" ht="110.25">
      <c r="A168" s="30"/>
      <c r="B168" s="48" t="s">
        <v>787</v>
      </c>
      <c r="C168" s="37" t="s">
        <v>20</v>
      </c>
      <c r="D168" s="50">
        <v>46.6</v>
      </c>
      <c r="E168" s="125">
        <v>5003000</v>
      </c>
      <c r="F168" s="130">
        <v>233139800</v>
      </c>
      <c r="G168" s="97"/>
    </row>
    <row r="169" spans="1:7" ht="126">
      <c r="A169" s="30"/>
      <c r="B169" s="48" t="s">
        <v>946</v>
      </c>
      <c r="C169" s="37" t="s">
        <v>20</v>
      </c>
      <c r="D169" s="50">
        <v>29.1</v>
      </c>
      <c r="E169" s="172">
        <v>3953000</v>
      </c>
      <c r="F169" s="130">
        <v>115032300</v>
      </c>
      <c r="G169" s="97"/>
    </row>
    <row r="170" spans="1:7" ht="110.25">
      <c r="A170" s="30"/>
      <c r="B170" s="48" t="s">
        <v>787</v>
      </c>
      <c r="C170" s="37" t="s">
        <v>20</v>
      </c>
      <c r="D170" s="50">
        <v>23</v>
      </c>
      <c r="E170" s="125">
        <v>5003000</v>
      </c>
      <c r="F170" s="130">
        <v>115069000</v>
      </c>
      <c r="G170" s="97"/>
    </row>
    <row r="171" spans="1:7" ht="126">
      <c r="A171" s="30"/>
      <c r="B171" s="48" t="s">
        <v>945</v>
      </c>
      <c r="C171" s="37" t="s">
        <v>20</v>
      </c>
      <c r="D171" s="50">
        <v>40.5</v>
      </c>
      <c r="E171" s="172">
        <v>3953000</v>
      </c>
      <c r="F171" s="130">
        <v>160096500</v>
      </c>
      <c r="G171" s="97"/>
    </row>
    <row r="172" spans="2:6" s="186" customFormat="1" ht="15.75">
      <c r="B172" s="187" t="s">
        <v>1144</v>
      </c>
      <c r="D172" s="188">
        <f>SUM(D3:D171)</f>
        <v>30484.899999999994</v>
      </c>
      <c r="F172" s="189">
        <f>SUM(F3:F171)</f>
        <v>178296120060</v>
      </c>
    </row>
    <row r="173" ht="15.75">
      <c r="B173" s="1" t="s">
        <v>1145</v>
      </c>
    </row>
    <row r="174" spans="1:7" ht="126">
      <c r="A174" s="72"/>
      <c r="B174" s="12" t="s">
        <v>178</v>
      </c>
      <c r="C174" s="8" t="s">
        <v>20</v>
      </c>
      <c r="D174" s="10">
        <v>37.2</v>
      </c>
      <c r="E174" s="24">
        <v>3230000</v>
      </c>
      <c r="F174" s="25">
        <v>120156000.00000001</v>
      </c>
      <c r="G174" s="91"/>
    </row>
    <row r="175" spans="1:7" ht="31.5">
      <c r="A175" s="72"/>
      <c r="B175" s="13" t="s">
        <v>21</v>
      </c>
      <c r="C175" s="8" t="s">
        <v>20</v>
      </c>
      <c r="D175" s="166">
        <v>30.5</v>
      </c>
      <c r="E175" s="25">
        <v>325000</v>
      </c>
      <c r="F175" s="25">
        <v>9912500</v>
      </c>
      <c r="G175" s="90"/>
    </row>
    <row r="176" spans="1:7" ht="47.25">
      <c r="A176" s="73"/>
      <c r="B176" s="13" t="s">
        <v>176</v>
      </c>
      <c r="C176" s="8" t="s">
        <v>20</v>
      </c>
      <c r="D176" s="9">
        <v>18.6</v>
      </c>
      <c r="E176" s="25">
        <v>736000</v>
      </c>
      <c r="F176" s="25">
        <v>13689600.000000002</v>
      </c>
      <c r="G176" s="90"/>
    </row>
    <row r="177" spans="1:7" ht="129">
      <c r="A177" s="11"/>
      <c r="B177" s="12" t="s">
        <v>94</v>
      </c>
      <c r="C177" s="8" t="s">
        <v>20</v>
      </c>
      <c r="D177" s="21">
        <v>17.700000000000003</v>
      </c>
      <c r="E177" s="24">
        <v>2500100</v>
      </c>
      <c r="F177" s="24">
        <v>44251770.00000001</v>
      </c>
      <c r="G177" s="92" t="s">
        <v>750</v>
      </c>
    </row>
    <row r="178" spans="1:7" ht="18.75">
      <c r="A178" s="11"/>
      <c r="B178" s="12" t="s">
        <v>25</v>
      </c>
      <c r="C178" s="8" t="s">
        <v>32</v>
      </c>
      <c r="D178" s="21">
        <v>4.75</v>
      </c>
      <c r="E178" s="24">
        <v>1250000</v>
      </c>
      <c r="F178" s="24">
        <v>5937500</v>
      </c>
      <c r="G178" s="93"/>
    </row>
    <row r="179" spans="1:7" ht="18.75">
      <c r="A179" s="72"/>
      <c r="B179" s="11" t="s">
        <v>26</v>
      </c>
      <c r="C179" s="8" t="s">
        <v>20</v>
      </c>
      <c r="D179" s="10">
        <v>23.75</v>
      </c>
      <c r="E179" s="24">
        <v>82000</v>
      </c>
      <c r="F179" s="24">
        <v>1947500</v>
      </c>
      <c r="G179" s="93"/>
    </row>
    <row r="180" spans="1:7" ht="18.75">
      <c r="A180" s="72"/>
      <c r="B180" s="12" t="s">
        <v>27</v>
      </c>
      <c r="C180" s="8" t="s">
        <v>32</v>
      </c>
      <c r="D180" s="21">
        <v>0.44999999999999996</v>
      </c>
      <c r="E180" s="24">
        <v>1854000</v>
      </c>
      <c r="F180" s="24">
        <v>834299.9999999999</v>
      </c>
      <c r="G180" s="93"/>
    </row>
    <row r="181" spans="1:7" ht="18.75">
      <c r="A181" s="72"/>
      <c r="B181" s="12" t="s">
        <v>28</v>
      </c>
      <c r="C181" s="8" t="s">
        <v>20</v>
      </c>
      <c r="D181" s="10">
        <v>2.04</v>
      </c>
      <c r="E181" s="24">
        <v>85000</v>
      </c>
      <c r="F181" s="24">
        <v>173400</v>
      </c>
      <c r="G181" s="94" t="s">
        <v>187</v>
      </c>
    </row>
    <row r="182" spans="1:7" ht="18.75">
      <c r="A182" s="11"/>
      <c r="B182" s="12" t="s">
        <v>29</v>
      </c>
      <c r="C182" s="8" t="s">
        <v>20</v>
      </c>
      <c r="D182" s="10">
        <v>22.08</v>
      </c>
      <c r="E182" s="24">
        <v>125000</v>
      </c>
      <c r="F182" s="24">
        <v>2760000</v>
      </c>
      <c r="G182" s="93"/>
    </row>
    <row r="183" spans="1:7" ht="18.75">
      <c r="A183" s="11"/>
      <c r="B183" s="12" t="s">
        <v>30</v>
      </c>
      <c r="C183" s="8" t="s">
        <v>20</v>
      </c>
      <c r="D183" s="10">
        <v>6.96</v>
      </c>
      <c r="E183" s="24">
        <v>240000</v>
      </c>
      <c r="F183" s="24">
        <v>1670400</v>
      </c>
      <c r="G183" s="93"/>
    </row>
    <row r="184" spans="1:7" ht="78.75">
      <c r="A184" s="17"/>
      <c r="B184" s="29" t="s">
        <v>95</v>
      </c>
      <c r="C184" s="8" t="s">
        <v>20</v>
      </c>
      <c r="D184" s="9">
        <v>11.84</v>
      </c>
      <c r="E184" s="25">
        <v>2610000</v>
      </c>
      <c r="F184" s="24">
        <v>30902400</v>
      </c>
      <c r="G184" s="95" t="s">
        <v>751</v>
      </c>
    </row>
    <row r="185" spans="1:7" ht="31.5">
      <c r="A185" s="17"/>
      <c r="B185" s="29" t="s">
        <v>206</v>
      </c>
      <c r="C185" s="36" t="s">
        <v>208</v>
      </c>
      <c r="D185" s="9">
        <v>24.064</v>
      </c>
      <c r="E185" s="25">
        <v>240000</v>
      </c>
      <c r="F185" s="24">
        <v>5775360</v>
      </c>
      <c r="G185" s="95"/>
    </row>
    <row r="186" spans="1:7" ht="18.75">
      <c r="A186" s="17"/>
      <c r="B186" s="13" t="s">
        <v>25</v>
      </c>
      <c r="C186" s="8" t="s">
        <v>32</v>
      </c>
      <c r="D186" s="9">
        <v>0.31200000000000006</v>
      </c>
      <c r="E186" s="25">
        <v>1250000</v>
      </c>
      <c r="F186" s="24">
        <v>390000.00000000006</v>
      </c>
      <c r="G186" s="90"/>
    </row>
    <row r="187" spans="1:7" ht="18.75">
      <c r="A187" s="17"/>
      <c r="B187" s="13" t="s">
        <v>26</v>
      </c>
      <c r="C187" s="8" t="s">
        <v>20</v>
      </c>
      <c r="D187" s="9">
        <v>3.12</v>
      </c>
      <c r="E187" s="24">
        <v>82000</v>
      </c>
      <c r="F187" s="24">
        <v>255840</v>
      </c>
      <c r="G187" s="90"/>
    </row>
    <row r="188" spans="1:7" ht="31.5">
      <c r="A188" s="17"/>
      <c r="B188" s="13" t="s">
        <v>836</v>
      </c>
      <c r="C188" s="8" t="s">
        <v>210</v>
      </c>
      <c r="D188" s="50">
        <v>80</v>
      </c>
      <c r="E188" s="125">
        <v>13640</v>
      </c>
      <c r="F188" s="24">
        <v>1091200</v>
      </c>
      <c r="G188" s="95" t="s">
        <v>903</v>
      </c>
    </row>
    <row r="189" spans="1:7" ht="31.5">
      <c r="A189" s="17"/>
      <c r="B189" s="13" t="s">
        <v>842</v>
      </c>
      <c r="C189" s="8" t="s">
        <v>210</v>
      </c>
      <c r="D189" s="50">
        <v>80</v>
      </c>
      <c r="E189" s="125">
        <v>25300</v>
      </c>
      <c r="F189" s="24">
        <v>2024000</v>
      </c>
      <c r="G189" s="95" t="s">
        <v>903</v>
      </c>
    </row>
    <row r="190" spans="1:7" ht="31.5">
      <c r="A190" s="11"/>
      <c r="B190" s="13" t="s">
        <v>872</v>
      </c>
      <c r="C190" s="8" t="s">
        <v>210</v>
      </c>
      <c r="D190" s="50">
        <v>80</v>
      </c>
      <c r="E190" s="125">
        <v>44770</v>
      </c>
      <c r="F190" s="24">
        <v>3581600</v>
      </c>
      <c r="G190" s="95" t="s">
        <v>903</v>
      </c>
    </row>
    <row r="191" spans="1:7" ht="31.5">
      <c r="A191" s="17"/>
      <c r="B191" s="12" t="s">
        <v>35</v>
      </c>
      <c r="C191" s="8" t="s">
        <v>20</v>
      </c>
      <c r="D191" s="21">
        <v>4</v>
      </c>
      <c r="E191" s="24">
        <v>325000</v>
      </c>
      <c r="F191" s="24">
        <v>1300000</v>
      </c>
      <c r="G191" s="93"/>
    </row>
    <row r="192" spans="1:7" ht="18.75">
      <c r="A192" s="72"/>
      <c r="B192" s="11" t="s">
        <v>27</v>
      </c>
      <c r="C192" s="8" t="s">
        <v>32</v>
      </c>
      <c r="D192" s="10">
        <v>0.396</v>
      </c>
      <c r="E192" s="24">
        <v>1854000</v>
      </c>
      <c r="F192" s="24">
        <v>734184</v>
      </c>
      <c r="G192" s="93"/>
    </row>
    <row r="193" spans="1:7" ht="18.75">
      <c r="A193" s="72"/>
      <c r="B193" s="12" t="s">
        <v>28</v>
      </c>
      <c r="C193" s="8" t="s">
        <v>20</v>
      </c>
      <c r="D193" s="9">
        <v>2.4</v>
      </c>
      <c r="E193" s="25">
        <v>85000</v>
      </c>
      <c r="F193" s="25">
        <v>204000</v>
      </c>
      <c r="G193" s="95" t="s">
        <v>187</v>
      </c>
    </row>
    <row r="194" spans="1:7" ht="18.75">
      <c r="A194" s="72"/>
      <c r="B194" s="13" t="s">
        <v>36</v>
      </c>
      <c r="C194" s="8" t="s">
        <v>20</v>
      </c>
      <c r="D194" s="9">
        <v>3.25</v>
      </c>
      <c r="E194" s="25">
        <v>125000</v>
      </c>
      <c r="F194" s="25">
        <v>406250</v>
      </c>
      <c r="G194" s="93"/>
    </row>
    <row r="195" spans="1:7" ht="31.5">
      <c r="A195" s="11"/>
      <c r="B195" s="13" t="s">
        <v>47</v>
      </c>
      <c r="C195" s="8" t="s">
        <v>20</v>
      </c>
      <c r="D195" s="9">
        <v>14.85</v>
      </c>
      <c r="E195" s="25">
        <v>498000</v>
      </c>
      <c r="F195" s="25">
        <v>7395300</v>
      </c>
      <c r="G195" s="93"/>
    </row>
    <row r="196" spans="1:7" ht="31.5">
      <c r="A196" s="17"/>
      <c r="B196" s="13" t="s">
        <v>872</v>
      </c>
      <c r="C196" s="8" t="s">
        <v>210</v>
      </c>
      <c r="D196" s="9">
        <v>3</v>
      </c>
      <c r="E196" s="125">
        <v>44770</v>
      </c>
      <c r="F196" s="25">
        <v>134310</v>
      </c>
      <c r="G196" s="95" t="s">
        <v>903</v>
      </c>
    </row>
    <row r="197" spans="1:7" ht="31.5">
      <c r="A197" s="17"/>
      <c r="B197" s="13" t="s">
        <v>873</v>
      </c>
      <c r="C197" s="8" t="s">
        <v>210</v>
      </c>
      <c r="D197" s="9">
        <v>3</v>
      </c>
      <c r="E197" s="125">
        <v>9680</v>
      </c>
      <c r="F197" s="25">
        <v>29040</v>
      </c>
      <c r="G197" s="95" t="s">
        <v>903</v>
      </c>
    </row>
    <row r="198" spans="1:7" ht="110.25">
      <c r="A198" s="17"/>
      <c r="B198" s="11" t="s">
        <v>179</v>
      </c>
      <c r="C198" s="2" t="s">
        <v>20</v>
      </c>
      <c r="D198" s="10">
        <v>68.64</v>
      </c>
      <c r="E198" s="24">
        <v>3068500</v>
      </c>
      <c r="F198" s="25">
        <v>210621840</v>
      </c>
      <c r="G198" s="92" t="s">
        <v>752</v>
      </c>
    </row>
    <row r="199" spans="1:7" ht="63">
      <c r="A199" s="40"/>
      <c r="B199" s="48" t="s">
        <v>96</v>
      </c>
      <c r="C199" s="2" t="s">
        <v>20</v>
      </c>
      <c r="D199" s="9">
        <v>4.16</v>
      </c>
      <c r="E199" s="25">
        <v>2610000</v>
      </c>
      <c r="F199" s="25">
        <v>10857600</v>
      </c>
      <c r="G199" s="95" t="s">
        <v>751</v>
      </c>
    </row>
    <row r="200" spans="1:7" ht="18.75">
      <c r="A200" s="40"/>
      <c r="B200" s="13" t="s">
        <v>36</v>
      </c>
      <c r="C200" s="2" t="s">
        <v>20</v>
      </c>
      <c r="D200" s="9">
        <v>30.590000000000003</v>
      </c>
      <c r="E200" s="25">
        <v>125000</v>
      </c>
      <c r="F200" s="25">
        <v>3823750.0000000005</v>
      </c>
      <c r="G200" s="93"/>
    </row>
    <row r="201" spans="1:7" ht="31.5">
      <c r="A201" s="11"/>
      <c r="B201" s="13" t="s">
        <v>39</v>
      </c>
      <c r="C201" s="2" t="s">
        <v>20</v>
      </c>
      <c r="D201" s="9">
        <v>86.91499999999999</v>
      </c>
      <c r="E201" s="25">
        <v>110000</v>
      </c>
      <c r="F201" s="25">
        <v>9560650</v>
      </c>
      <c r="G201" s="93"/>
    </row>
    <row r="202" spans="1:7" ht="31.5">
      <c r="A202" s="17"/>
      <c r="B202" s="13" t="s">
        <v>40</v>
      </c>
      <c r="C202" s="2" t="s">
        <v>20</v>
      </c>
      <c r="D202" s="9">
        <v>8.16</v>
      </c>
      <c r="E202" s="25">
        <v>498000</v>
      </c>
      <c r="F202" s="25">
        <v>4063680</v>
      </c>
      <c r="G202" s="93"/>
    </row>
    <row r="203" spans="1:7" ht="18.75">
      <c r="A203" s="17"/>
      <c r="B203" s="13" t="s">
        <v>28</v>
      </c>
      <c r="C203" s="2" t="s">
        <v>20</v>
      </c>
      <c r="D203" s="9">
        <v>2.52</v>
      </c>
      <c r="E203" s="25">
        <v>85000</v>
      </c>
      <c r="F203" s="25">
        <v>214200</v>
      </c>
      <c r="G203" s="95" t="s">
        <v>187</v>
      </c>
    </row>
    <row r="204" spans="1:7" ht="18.75">
      <c r="A204" s="17"/>
      <c r="B204" s="13" t="s">
        <v>27</v>
      </c>
      <c r="C204" s="2" t="s">
        <v>32</v>
      </c>
      <c r="D204" s="9">
        <v>0.36</v>
      </c>
      <c r="E204" s="25">
        <v>1854000</v>
      </c>
      <c r="F204" s="25">
        <v>667440</v>
      </c>
      <c r="G204" s="93"/>
    </row>
    <row r="205" spans="1:7" ht="31.5">
      <c r="A205" s="17"/>
      <c r="B205" s="13" t="s">
        <v>35</v>
      </c>
      <c r="C205" s="2" t="s">
        <v>20</v>
      </c>
      <c r="D205" s="9">
        <v>6.9</v>
      </c>
      <c r="E205" s="25">
        <v>325000</v>
      </c>
      <c r="F205" s="25">
        <v>2242500</v>
      </c>
      <c r="G205" s="93"/>
    </row>
    <row r="206" spans="1:7" ht="18.75">
      <c r="A206" s="17"/>
      <c r="B206" s="13" t="s">
        <v>25</v>
      </c>
      <c r="C206" s="2" t="s">
        <v>32</v>
      </c>
      <c r="D206" s="9">
        <v>1.04</v>
      </c>
      <c r="E206" s="25">
        <v>1250000</v>
      </c>
      <c r="F206" s="25">
        <v>1300000</v>
      </c>
      <c r="G206" s="93"/>
    </row>
    <row r="207" spans="1:7" ht="15.75">
      <c r="A207" s="11"/>
      <c r="B207" s="13" t="s">
        <v>41</v>
      </c>
      <c r="C207" s="8" t="s">
        <v>42</v>
      </c>
      <c r="D207" s="10">
        <v>1</v>
      </c>
      <c r="E207" s="25">
        <v>238000</v>
      </c>
      <c r="F207" s="25">
        <v>238000</v>
      </c>
      <c r="G207" s="93"/>
    </row>
    <row r="208" spans="1:7" ht="110.25">
      <c r="A208" s="17"/>
      <c r="B208" s="11" t="s">
        <v>180</v>
      </c>
      <c r="C208" s="2" t="s">
        <v>20</v>
      </c>
      <c r="D208" s="10">
        <v>96.87</v>
      </c>
      <c r="E208" s="24">
        <v>2971600</v>
      </c>
      <c r="F208" s="25">
        <v>287858892</v>
      </c>
      <c r="G208" s="92" t="s">
        <v>753</v>
      </c>
    </row>
    <row r="209" spans="1:7" ht="31.5">
      <c r="A209" s="17"/>
      <c r="B209" s="13" t="s">
        <v>47</v>
      </c>
      <c r="C209" s="2" t="s">
        <v>20</v>
      </c>
      <c r="D209" s="9">
        <v>53.532000000000004</v>
      </c>
      <c r="E209" s="25">
        <v>498000</v>
      </c>
      <c r="F209" s="25">
        <v>26658936</v>
      </c>
      <c r="G209" s="93"/>
    </row>
    <row r="210" spans="1:7" ht="18.75">
      <c r="A210" s="17"/>
      <c r="B210" s="13" t="s">
        <v>36</v>
      </c>
      <c r="C210" s="2" t="s">
        <v>20</v>
      </c>
      <c r="D210" s="9">
        <v>14.904</v>
      </c>
      <c r="E210" s="25">
        <v>125000</v>
      </c>
      <c r="F210" s="25">
        <v>1863000</v>
      </c>
      <c r="G210" s="93"/>
    </row>
    <row r="211" spans="1:7" ht="31.5">
      <c r="A211" s="17"/>
      <c r="B211" s="13" t="s">
        <v>48</v>
      </c>
      <c r="C211" s="2" t="s">
        <v>20</v>
      </c>
      <c r="D211" s="9">
        <v>44</v>
      </c>
      <c r="E211" s="25">
        <v>325000</v>
      </c>
      <c r="F211" s="25">
        <v>14300000</v>
      </c>
      <c r="G211" s="93"/>
    </row>
    <row r="212" spans="1:7" ht="18.75">
      <c r="A212" s="17"/>
      <c r="B212" s="13" t="s">
        <v>28</v>
      </c>
      <c r="C212" s="2" t="s">
        <v>20</v>
      </c>
      <c r="D212" s="9">
        <v>5.4</v>
      </c>
      <c r="E212" s="25">
        <v>85000</v>
      </c>
      <c r="F212" s="25">
        <v>459000.00000000006</v>
      </c>
      <c r="G212" s="95" t="s">
        <v>187</v>
      </c>
    </row>
    <row r="213" spans="1:7" ht="18.75">
      <c r="A213" s="17"/>
      <c r="B213" s="13" t="s">
        <v>27</v>
      </c>
      <c r="C213" s="2" t="s">
        <v>32</v>
      </c>
      <c r="D213" s="9">
        <v>0.504</v>
      </c>
      <c r="E213" s="25">
        <v>1854000</v>
      </c>
      <c r="F213" s="25">
        <v>934416</v>
      </c>
      <c r="G213" s="93"/>
    </row>
    <row r="214" spans="1:7" ht="110.25">
      <c r="A214" s="17"/>
      <c r="B214" s="11" t="s">
        <v>181</v>
      </c>
      <c r="C214" s="2" t="s">
        <v>20</v>
      </c>
      <c r="D214" s="10">
        <v>41.8646</v>
      </c>
      <c r="E214" s="24">
        <v>2810100</v>
      </c>
      <c r="F214" s="25">
        <v>117643712.46000001</v>
      </c>
      <c r="G214" s="98" t="s">
        <v>754</v>
      </c>
    </row>
    <row r="215" spans="1:7" ht="96">
      <c r="A215" s="40"/>
      <c r="B215" s="11" t="s">
        <v>97</v>
      </c>
      <c r="C215" s="2" t="s">
        <v>20</v>
      </c>
      <c r="D215" s="9">
        <v>11.850750000000001</v>
      </c>
      <c r="E215" s="25">
        <v>2660100</v>
      </c>
      <c r="F215" s="25">
        <v>31524180.075000003</v>
      </c>
      <c r="G215" s="96" t="s">
        <v>755</v>
      </c>
    </row>
    <row r="216" spans="1:7" ht="78.75">
      <c r="A216" s="40"/>
      <c r="B216" s="29" t="s">
        <v>98</v>
      </c>
      <c r="C216" s="2" t="s">
        <v>20</v>
      </c>
      <c r="D216" s="9">
        <v>3.3800000000000003</v>
      </c>
      <c r="E216" s="25">
        <v>2610000</v>
      </c>
      <c r="F216" s="25">
        <v>8821800</v>
      </c>
      <c r="G216" s="95" t="s">
        <v>751</v>
      </c>
    </row>
    <row r="217" spans="1:7" ht="31.5">
      <c r="A217" s="11"/>
      <c r="B217" s="29" t="s">
        <v>207</v>
      </c>
      <c r="C217" s="36" t="s">
        <v>208</v>
      </c>
      <c r="D217" s="9">
        <v>10.5</v>
      </c>
      <c r="E217" s="25">
        <v>240000</v>
      </c>
      <c r="F217" s="25">
        <v>2520000</v>
      </c>
      <c r="G217" s="95"/>
    </row>
    <row r="218" spans="1:7" ht="18.75">
      <c r="A218" s="17"/>
      <c r="B218" s="13" t="s">
        <v>36</v>
      </c>
      <c r="C218" s="2" t="s">
        <v>20</v>
      </c>
      <c r="D218" s="9">
        <v>18.613</v>
      </c>
      <c r="E218" s="25">
        <v>125000</v>
      </c>
      <c r="F218" s="25">
        <v>2326625</v>
      </c>
      <c r="G218" s="93"/>
    </row>
    <row r="219" spans="1:7" ht="31.5">
      <c r="A219" s="17"/>
      <c r="B219" s="13" t="s">
        <v>53</v>
      </c>
      <c r="C219" s="2" t="s">
        <v>20</v>
      </c>
      <c r="D219" s="9">
        <v>14.425</v>
      </c>
      <c r="E219" s="25">
        <v>150000</v>
      </c>
      <c r="F219" s="25">
        <v>2163750</v>
      </c>
      <c r="G219" s="93"/>
    </row>
    <row r="220" spans="1:7" ht="15.75">
      <c r="A220" s="17"/>
      <c r="B220" s="13" t="s">
        <v>834</v>
      </c>
      <c r="C220" s="8" t="s">
        <v>210</v>
      </c>
      <c r="D220" s="9">
        <v>40</v>
      </c>
      <c r="E220" s="125">
        <v>13640</v>
      </c>
      <c r="F220" s="25">
        <v>545600</v>
      </c>
      <c r="G220" s="95" t="s">
        <v>903</v>
      </c>
    </row>
    <row r="221" spans="1:7" ht="15.75">
      <c r="A221" s="17"/>
      <c r="B221" s="13" t="s">
        <v>41</v>
      </c>
      <c r="C221" s="2" t="s">
        <v>42</v>
      </c>
      <c r="D221" s="9">
        <v>1</v>
      </c>
      <c r="E221" s="25">
        <v>238000</v>
      </c>
      <c r="F221" s="25">
        <v>238000</v>
      </c>
      <c r="G221" s="93"/>
    </row>
    <row r="222" spans="1:7" ht="18.75">
      <c r="A222" s="17"/>
      <c r="B222" s="13" t="s">
        <v>54</v>
      </c>
      <c r="C222" s="2" t="s">
        <v>20</v>
      </c>
      <c r="D222" s="9">
        <v>11.529</v>
      </c>
      <c r="E222" s="25">
        <v>85000</v>
      </c>
      <c r="F222" s="25">
        <v>979965</v>
      </c>
      <c r="G222" s="94" t="s">
        <v>187</v>
      </c>
    </row>
    <row r="223" spans="1:7" ht="18.75">
      <c r="A223" s="17"/>
      <c r="B223" s="13" t="s">
        <v>28</v>
      </c>
      <c r="C223" s="2" t="s">
        <v>20</v>
      </c>
      <c r="D223" s="9">
        <v>2.55</v>
      </c>
      <c r="E223" s="25">
        <v>85000</v>
      </c>
      <c r="F223" s="25">
        <v>216749.99999999997</v>
      </c>
      <c r="G223" s="95" t="s">
        <v>187</v>
      </c>
    </row>
    <row r="224" spans="1:7" ht="18.75">
      <c r="A224" s="17"/>
      <c r="B224" s="13" t="s">
        <v>27</v>
      </c>
      <c r="C224" s="2" t="s">
        <v>32</v>
      </c>
      <c r="D224" s="9">
        <v>0.4</v>
      </c>
      <c r="E224" s="25">
        <v>1854000</v>
      </c>
      <c r="F224" s="25">
        <v>741600</v>
      </c>
      <c r="G224" s="93"/>
    </row>
    <row r="225" spans="1:7" ht="31.5">
      <c r="A225" s="17"/>
      <c r="B225" s="13" t="s">
        <v>55</v>
      </c>
      <c r="C225" s="2" t="s">
        <v>20</v>
      </c>
      <c r="D225" s="9">
        <v>10.350000000000001</v>
      </c>
      <c r="E225" s="25">
        <v>325000</v>
      </c>
      <c r="F225" s="25">
        <v>3363750.0000000005</v>
      </c>
      <c r="G225" s="93"/>
    </row>
    <row r="226" spans="1:7" ht="110.25">
      <c r="A226" s="17"/>
      <c r="B226" s="30" t="s">
        <v>205</v>
      </c>
      <c r="C226" s="2" t="s">
        <v>20</v>
      </c>
      <c r="D226" s="10">
        <v>8.775</v>
      </c>
      <c r="E226" s="25">
        <v>2610000</v>
      </c>
      <c r="F226" s="25">
        <v>22902750</v>
      </c>
      <c r="G226" s="95" t="s">
        <v>751</v>
      </c>
    </row>
    <row r="227" spans="1:7" ht="31.5">
      <c r="A227" s="40"/>
      <c r="B227" s="29" t="s">
        <v>207</v>
      </c>
      <c r="C227" s="36" t="s">
        <v>208</v>
      </c>
      <c r="D227" s="9">
        <v>16.65</v>
      </c>
      <c r="E227" s="25">
        <v>240000</v>
      </c>
      <c r="F227" s="25">
        <v>3995999.9999999995</v>
      </c>
      <c r="G227" s="95"/>
    </row>
    <row r="228" spans="1:7" ht="31.5">
      <c r="A228" s="40"/>
      <c r="B228" s="12" t="s">
        <v>35</v>
      </c>
      <c r="C228" s="2" t="s">
        <v>20</v>
      </c>
      <c r="D228" s="9">
        <v>12.32</v>
      </c>
      <c r="E228" s="25">
        <v>325000</v>
      </c>
      <c r="F228" s="25">
        <v>4004000</v>
      </c>
      <c r="G228" s="93"/>
    </row>
    <row r="229" spans="1:7" ht="18.75">
      <c r="A229" s="3"/>
      <c r="B229" s="13" t="s">
        <v>36</v>
      </c>
      <c r="C229" s="2" t="s">
        <v>20</v>
      </c>
      <c r="D229" s="9">
        <v>5.85</v>
      </c>
      <c r="E229" s="25">
        <v>125000</v>
      </c>
      <c r="F229" s="25">
        <v>731250</v>
      </c>
      <c r="G229" s="93"/>
    </row>
    <row r="230" spans="1:7" ht="47.25">
      <c r="A230" s="11"/>
      <c r="B230" s="13" t="s">
        <v>744</v>
      </c>
      <c r="C230" s="4" t="s">
        <v>32</v>
      </c>
      <c r="D230" s="10">
        <v>3.14</v>
      </c>
      <c r="E230" s="24">
        <v>1684000</v>
      </c>
      <c r="F230" s="25">
        <v>5287760</v>
      </c>
      <c r="G230" s="94" t="s">
        <v>745</v>
      </c>
    </row>
    <row r="231" spans="1:7" ht="99">
      <c r="A231" s="17"/>
      <c r="B231" s="11" t="s">
        <v>99</v>
      </c>
      <c r="C231" s="2" t="s">
        <v>20</v>
      </c>
      <c r="D231" s="10">
        <v>20.669999999999998</v>
      </c>
      <c r="E231" s="24">
        <v>2112500</v>
      </c>
      <c r="F231" s="25">
        <v>43665374.99999999</v>
      </c>
      <c r="G231" s="96" t="s">
        <v>756</v>
      </c>
    </row>
    <row r="232" spans="1:7" ht="31.5">
      <c r="A232" s="40"/>
      <c r="B232" s="13" t="s">
        <v>35</v>
      </c>
      <c r="C232" s="2" t="s">
        <v>20</v>
      </c>
      <c r="D232" s="7">
        <v>10</v>
      </c>
      <c r="E232" s="25">
        <v>325000</v>
      </c>
      <c r="F232" s="25">
        <v>3250000</v>
      </c>
      <c r="G232" s="90"/>
    </row>
    <row r="233" spans="1:7" ht="18.75">
      <c r="A233" s="76"/>
      <c r="B233" s="13" t="s">
        <v>36</v>
      </c>
      <c r="C233" s="2" t="s">
        <v>20</v>
      </c>
      <c r="D233" s="9">
        <v>2.25</v>
      </c>
      <c r="E233" s="25">
        <v>125000</v>
      </c>
      <c r="F233" s="25">
        <v>281250</v>
      </c>
      <c r="G233" s="90"/>
    </row>
    <row r="234" spans="1:7" ht="78.75">
      <c r="A234" s="11"/>
      <c r="B234" s="11" t="s">
        <v>101</v>
      </c>
      <c r="C234" s="2" t="s">
        <v>20</v>
      </c>
      <c r="D234" s="10">
        <v>82.75999999999999</v>
      </c>
      <c r="E234" s="24">
        <v>2810100</v>
      </c>
      <c r="F234" s="25">
        <v>232563875.99999997</v>
      </c>
      <c r="G234" s="92" t="s">
        <v>754</v>
      </c>
    </row>
    <row r="235" spans="1:7" ht="129">
      <c r="A235" s="40"/>
      <c r="B235" s="11" t="s">
        <v>100</v>
      </c>
      <c r="C235" s="2" t="s">
        <v>20</v>
      </c>
      <c r="D235" s="9">
        <v>8.82</v>
      </c>
      <c r="E235" s="25">
        <v>2500100</v>
      </c>
      <c r="F235" s="25">
        <v>22050882</v>
      </c>
      <c r="G235" s="92" t="s">
        <v>757</v>
      </c>
    </row>
    <row r="236" spans="1:7" ht="78.75">
      <c r="A236" s="40"/>
      <c r="B236" s="29" t="s">
        <v>507</v>
      </c>
      <c r="C236" s="2" t="s">
        <v>20</v>
      </c>
      <c r="D236" s="9">
        <v>3.6</v>
      </c>
      <c r="E236" s="25">
        <v>2610000</v>
      </c>
      <c r="F236" s="25">
        <v>9396000</v>
      </c>
      <c r="G236" s="95" t="s">
        <v>751</v>
      </c>
    </row>
    <row r="237" spans="1:7" ht="31.5">
      <c r="A237" s="17"/>
      <c r="B237" s="29" t="s">
        <v>207</v>
      </c>
      <c r="C237" s="36" t="s">
        <v>208</v>
      </c>
      <c r="D237" s="9">
        <v>10.2</v>
      </c>
      <c r="E237" s="25">
        <v>240000</v>
      </c>
      <c r="F237" s="25">
        <v>2448000</v>
      </c>
      <c r="G237" s="95"/>
    </row>
    <row r="238" spans="1:7" ht="31.5">
      <c r="A238" s="17"/>
      <c r="B238" s="13" t="s">
        <v>68</v>
      </c>
      <c r="C238" s="2" t="s">
        <v>20</v>
      </c>
      <c r="D238" s="9">
        <v>43.07</v>
      </c>
      <c r="E238" s="25">
        <v>150000</v>
      </c>
      <c r="F238" s="25">
        <v>6460500</v>
      </c>
      <c r="G238" s="93"/>
    </row>
    <row r="239" spans="1:7" ht="18.75">
      <c r="A239" s="17"/>
      <c r="B239" s="13" t="s">
        <v>69</v>
      </c>
      <c r="C239" s="2" t="s">
        <v>20</v>
      </c>
      <c r="D239" s="9">
        <v>5.84</v>
      </c>
      <c r="E239" s="25">
        <v>85000</v>
      </c>
      <c r="F239" s="25">
        <v>496400</v>
      </c>
      <c r="G239" s="95" t="s">
        <v>187</v>
      </c>
    </row>
    <row r="240" spans="1:7" ht="31.5">
      <c r="A240" s="17"/>
      <c r="B240" s="13" t="s">
        <v>55</v>
      </c>
      <c r="C240" s="2" t="s">
        <v>20</v>
      </c>
      <c r="D240" s="9">
        <v>15</v>
      </c>
      <c r="E240" s="25">
        <v>325000</v>
      </c>
      <c r="F240" s="25">
        <v>4875000</v>
      </c>
      <c r="G240" s="93"/>
    </row>
    <row r="241" spans="1:7" ht="18.75">
      <c r="A241" s="17"/>
      <c r="B241" s="13" t="s">
        <v>27</v>
      </c>
      <c r="C241" s="2" t="s">
        <v>32</v>
      </c>
      <c r="D241" s="9">
        <v>0.396</v>
      </c>
      <c r="E241" s="25">
        <v>1854000</v>
      </c>
      <c r="F241" s="25">
        <v>734184</v>
      </c>
      <c r="G241" s="93"/>
    </row>
    <row r="242" spans="1:7" ht="18.75">
      <c r="A242" s="62"/>
      <c r="B242" s="29" t="s">
        <v>26</v>
      </c>
      <c r="C242" s="49" t="s">
        <v>20</v>
      </c>
      <c r="D242" s="50">
        <v>1.32</v>
      </c>
      <c r="E242" s="125">
        <v>82000</v>
      </c>
      <c r="F242" s="125">
        <v>108240</v>
      </c>
      <c r="G242" s="97"/>
    </row>
    <row r="243" spans="1:7" ht="31.5">
      <c r="A243" s="62"/>
      <c r="B243" s="29" t="s">
        <v>835</v>
      </c>
      <c r="C243" s="49" t="s">
        <v>210</v>
      </c>
      <c r="D243" s="50">
        <v>57.5</v>
      </c>
      <c r="E243" s="126"/>
      <c r="F243" s="125">
        <v>0</v>
      </c>
      <c r="G243" s="97"/>
    </row>
    <row r="244" spans="1:7" ht="78.75">
      <c r="A244" s="17"/>
      <c r="B244" s="11" t="s">
        <v>101</v>
      </c>
      <c r="C244" s="2" t="s">
        <v>20</v>
      </c>
      <c r="D244" s="10">
        <v>92</v>
      </c>
      <c r="E244" s="24">
        <v>2810100</v>
      </c>
      <c r="F244" s="25">
        <v>258529200</v>
      </c>
      <c r="G244" s="92" t="s">
        <v>758</v>
      </c>
    </row>
    <row r="245" spans="1:7" ht="31.5">
      <c r="A245" s="40"/>
      <c r="B245" s="12" t="s">
        <v>191</v>
      </c>
      <c r="C245" s="2" t="s">
        <v>20</v>
      </c>
      <c r="D245" s="9">
        <v>10.56</v>
      </c>
      <c r="E245" s="25">
        <v>928000</v>
      </c>
      <c r="F245" s="25">
        <v>9799680</v>
      </c>
      <c r="G245" s="93"/>
    </row>
    <row r="246" spans="1:7" ht="31.5">
      <c r="A246" s="40"/>
      <c r="B246" s="13" t="s">
        <v>73</v>
      </c>
      <c r="C246" s="2" t="s">
        <v>20</v>
      </c>
      <c r="D246" s="9">
        <v>7.48</v>
      </c>
      <c r="E246" s="25">
        <v>736000</v>
      </c>
      <c r="F246" s="25">
        <v>5505280</v>
      </c>
      <c r="G246" s="93"/>
    </row>
    <row r="247" spans="1:7" ht="15.75">
      <c r="A247" s="17"/>
      <c r="B247" s="13" t="s">
        <v>41</v>
      </c>
      <c r="C247" s="2" t="s">
        <v>42</v>
      </c>
      <c r="D247" s="9">
        <v>1</v>
      </c>
      <c r="E247" s="25">
        <v>238000</v>
      </c>
      <c r="F247" s="25">
        <v>238000</v>
      </c>
      <c r="G247" s="93"/>
    </row>
    <row r="248" spans="1:7" ht="31.5">
      <c r="A248" s="17"/>
      <c r="B248" s="13" t="s">
        <v>836</v>
      </c>
      <c r="C248" s="8" t="s">
        <v>210</v>
      </c>
      <c r="D248" s="9">
        <v>40</v>
      </c>
      <c r="E248" s="125">
        <v>13640</v>
      </c>
      <c r="F248" s="25">
        <v>545600</v>
      </c>
      <c r="G248" s="95" t="s">
        <v>903</v>
      </c>
    </row>
    <row r="249" spans="1:7" ht="31.5">
      <c r="A249" s="17"/>
      <c r="B249" s="13" t="s">
        <v>837</v>
      </c>
      <c r="C249" s="8" t="s">
        <v>210</v>
      </c>
      <c r="D249" s="9">
        <v>25</v>
      </c>
      <c r="E249" s="125">
        <v>35090</v>
      </c>
      <c r="F249" s="25">
        <v>877250</v>
      </c>
      <c r="G249" s="95" t="s">
        <v>903</v>
      </c>
    </row>
    <row r="250" spans="1:7" ht="94.5">
      <c r="A250" s="55"/>
      <c r="B250" s="48" t="s">
        <v>746</v>
      </c>
      <c r="C250" s="37" t="s">
        <v>20</v>
      </c>
      <c r="D250" s="77">
        <v>97.5</v>
      </c>
      <c r="E250" s="128">
        <v>4820000</v>
      </c>
      <c r="F250" s="125">
        <v>469950000</v>
      </c>
      <c r="G250" s="105" t="s">
        <v>77</v>
      </c>
    </row>
    <row r="251" spans="1:7" ht="94.5">
      <c r="A251" s="55"/>
      <c r="B251" s="48" t="s">
        <v>747</v>
      </c>
      <c r="C251" s="37" t="s">
        <v>20</v>
      </c>
      <c r="D251" s="60">
        <v>92.495</v>
      </c>
      <c r="E251" s="128">
        <v>4820000</v>
      </c>
      <c r="F251" s="125">
        <v>445825900</v>
      </c>
      <c r="G251" s="97"/>
    </row>
    <row r="252" spans="2:7" ht="18.75">
      <c r="B252" s="12" t="s">
        <v>27</v>
      </c>
      <c r="C252" s="4" t="s">
        <v>32</v>
      </c>
      <c r="D252" s="10">
        <v>2.6160000000000005</v>
      </c>
      <c r="E252" s="25">
        <v>1854000</v>
      </c>
      <c r="F252" s="25">
        <v>4850064.000000001</v>
      </c>
      <c r="G252" s="93"/>
    </row>
    <row r="253" spans="1:7" ht="18.75">
      <c r="A253" s="11"/>
      <c r="B253" s="12" t="s">
        <v>28</v>
      </c>
      <c r="C253" s="4" t="s">
        <v>20</v>
      </c>
      <c r="D253" s="10">
        <v>2.8</v>
      </c>
      <c r="E253" s="25">
        <v>85000</v>
      </c>
      <c r="F253" s="25">
        <v>237999.99999999997</v>
      </c>
      <c r="G253" s="95" t="s">
        <v>187</v>
      </c>
    </row>
    <row r="254" spans="1:7" ht="31.5">
      <c r="A254" s="11"/>
      <c r="B254" s="12" t="s">
        <v>209</v>
      </c>
      <c r="C254" s="4" t="s">
        <v>20</v>
      </c>
      <c r="D254" s="10">
        <v>26.400000000000002</v>
      </c>
      <c r="E254" s="25">
        <v>928000</v>
      </c>
      <c r="F254" s="25">
        <v>24499200.000000004</v>
      </c>
      <c r="G254" s="93"/>
    </row>
    <row r="255" spans="1:7" ht="18.75">
      <c r="A255" s="11"/>
      <c r="B255" s="12" t="s">
        <v>36</v>
      </c>
      <c r="C255" s="4" t="s">
        <v>20</v>
      </c>
      <c r="D255" s="10">
        <v>129.82999999999998</v>
      </c>
      <c r="E255" s="25">
        <v>125000</v>
      </c>
      <c r="F255" s="25">
        <v>16228749.999999998</v>
      </c>
      <c r="G255" s="93"/>
    </row>
    <row r="256" spans="1:7" ht="18.75">
      <c r="A256" s="11"/>
      <c r="B256" s="12" t="s">
        <v>78</v>
      </c>
      <c r="C256" s="4" t="s">
        <v>32</v>
      </c>
      <c r="D256" s="10">
        <v>1.215</v>
      </c>
      <c r="E256" s="25">
        <v>7030000</v>
      </c>
      <c r="F256" s="25">
        <v>8541450</v>
      </c>
      <c r="G256" s="93"/>
    </row>
    <row r="257" spans="1:7" ht="47.25">
      <c r="A257" s="11"/>
      <c r="B257" s="12" t="s">
        <v>79</v>
      </c>
      <c r="C257" s="4" t="s">
        <v>20</v>
      </c>
      <c r="D257" s="10">
        <v>11.589999999999998</v>
      </c>
      <c r="E257" s="25">
        <v>498000</v>
      </c>
      <c r="F257" s="25">
        <v>5771819.999999999</v>
      </c>
      <c r="G257" s="93"/>
    </row>
    <row r="258" spans="1:7" ht="31.5">
      <c r="A258" s="11"/>
      <c r="B258" s="12" t="s">
        <v>35</v>
      </c>
      <c r="C258" s="4" t="s">
        <v>20</v>
      </c>
      <c r="D258" s="10">
        <v>10</v>
      </c>
      <c r="E258" s="25">
        <v>325000</v>
      </c>
      <c r="F258" s="25">
        <v>3250000</v>
      </c>
      <c r="G258" s="93"/>
    </row>
    <row r="259" spans="1:7" ht="31.5">
      <c r="A259" s="11"/>
      <c r="B259" s="12" t="s">
        <v>47</v>
      </c>
      <c r="C259" s="4" t="s">
        <v>20</v>
      </c>
      <c r="D259" s="10">
        <v>27.200000000000003</v>
      </c>
      <c r="E259" s="25">
        <v>498000</v>
      </c>
      <c r="F259" s="25">
        <v>13545600.000000002</v>
      </c>
      <c r="G259" s="93"/>
    </row>
    <row r="260" spans="1:7" ht="63">
      <c r="A260" s="11"/>
      <c r="B260" s="12" t="s">
        <v>80</v>
      </c>
      <c r="C260" s="4" t="s">
        <v>20</v>
      </c>
      <c r="D260" s="10">
        <v>16.15</v>
      </c>
      <c r="E260" s="25">
        <v>695000</v>
      </c>
      <c r="F260" s="25">
        <v>11224249.999999998</v>
      </c>
      <c r="G260" s="93"/>
    </row>
    <row r="261" spans="1:7" ht="31.5">
      <c r="A261" s="11"/>
      <c r="B261" s="12" t="s">
        <v>81</v>
      </c>
      <c r="C261" s="4" t="s">
        <v>20</v>
      </c>
      <c r="D261" s="10">
        <v>15.270000000000003</v>
      </c>
      <c r="E261" s="25">
        <v>293000</v>
      </c>
      <c r="F261" s="25">
        <v>4474110.000000001</v>
      </c>
      <c r="G261" s="93"/>
    </row>
    <row r="262" spans="1:7" ht="18.75">
      <c r="A262" s="11"/>
      <c r="B262" s="12" t="s">
        <v>82</v>
      </c>
      <c r="C262" s="4" t="s">
        <v>20</v>
      </c>
      <c r="D262" s="10">
        <v>12.739999999999998</v>
      </c>
      <c r="E262" s="25">
        <v>57000</v>
      </c>
      <c r="F262" s="25">
        <v>726179.9999999999</v>
      </c>
      <c r="G262" s="95" t="s">
        <v>187</v>
      </c>
    </row>
    <row r="263" spans="1:7" ht="31.5">
      <c r="A263" s="11"/>
      <c r="B263" s="12" t="s">
        <v>83</v>
      </c>
      <c r="C263" s="4" t="s">
        <v>20</v>
      </c>
      <c r="D263" s="10">
        <v>171.8</v>
      </c>
      <c r="E263" s="25">
        <v>110000</v>
      </c>
      <c r="F263" s="25">
        <v>18898000</v>
      </c>
      <c r="G263" s="93"/>
    </row>
    <row r="264" spans="1:7" ht="31.5">
      <c r="A264" s="11"/>
      <c r="B264" s="13" t="s">
        <v>836</v>
      </c>
      <c r="C264" s="8" t="s">
        <v>210</v>
      </c>
      <c r="D264" s="10">
        <v>20</v>
      </c>
      <c r="E264" s="125">
        <v>13640</v>
      </c>
      <c r="F264" s="25">
        <v>272800</v>
      </c>
      <c r="G264" s="95" t="s">
        <v>903</v>
      </c>
    </row>
    <row r="265" spans="1:7" ht="31.5">
      <c r="A265" s="11"/>
      <c r="B265" s="13" t="s">
        <v>837</v>
      </c>
      <c r="C265" s="8" t="s">
        <v>210</v>
      </c>
      <c r="D265" s="10">
        <v>20</v>
      </c>
      <c r="E265" s="125">
        <v>35090</v>
      </c>
      <c r="F265" s="25">
        <v>701800</v>
      </c>
      <c r="G265" s="95" t="s">
        <v>903</v>
      </c>
    </row>
    <row r="266" spans="1:7" ht="15.75">
      <c r="A266" s="11"/>
      <c r="B266" s="13" t="s">
        <v>41</v>
      </c>
      <c r="C266" s="20" t="s">
        <v>42</v>
      </c>
      <c r="D266" s="10">
        <v>1</v>
      </c>
      <c r="E266" s="25">
        <v>238000</v>
      </c>
      <c r="F266" s="25">
        <v>238000</v>
      </c>
      <c r="G266" s="93"/>
    </row>
    <row r="267" spans="1:7" ht="78.75">
      <c r="A267" s="16"/>
      <c r="B267" s="14" t="s">
        <v>102</v>
      </c>
      <c r="C267" s="4" t="s">
        <v>20</v>
      </c>
      <c r="D267" s="6">
        <v>82.4</v>
      </c>
      <c r="E267" s="25">
        <v>2971600</v>
      </c>
      <c r="F267" s="25">
        <v>244859840.00000003</v>
      </c>
      <c r="G267" s="96" t="s">
        <v>759</v>
      </c>
    </row>
    <row r="268" spans="1:7" ht="47.25">
      <c r="A268" s="17"/>
      <c r="B268" s="12" t="s">
        <v>87</v>
      </c>
      <c r="C268" s="4" t="s">
        <v>20</v>
      </c>
      <c r="D268" s="10">
        <v>162.07999999999998</v>
      </c>
      <c r="E268" s="25">
        <v>498000</v>
      </c>
      <c r="F268" s="25">
        <v>80715839.99999999</v>
      </c>
      <c r="G268" s="93"/>
    </row>
    <row r="269" spans="1:7" ht="18.75">
      <c r="A269" s="11"/>
      <c r="B269" s="12" t="s">
        <v>36</v>
      </c>
      <c r="C269" s="4" t="s">
        <v>20</v>
      </c>
      <c r="D269" s="9">
        <v>13.25</v>
      </c>
      <c r="E269" s="25">
        <v>125000</v>
      </c>
      <c r="F269" s="25">
        <v>1656250</v>
      </c>
      <c r="G269" s="93"/>
    </row>
    <row r="270" spans="1:7" ht="18.75">
      <c r="A270" s="17"/>
      <c r="B270" s="13" t="s">
        <v>25</v>
      </c>
      <c r="C270" s="4" t="s">
        <v>32</v>
      </c>
      <c r="D270" s="9">
        <v>4.85</v>
      </c>
      <c r="E270" s="25">
        <v>1250000</v>
      </c>
      <c r="F270" s="25">
        <v>6062500</v>
      </c>
      <c r="G270" s="93"/>
    </row>
    <row r="271" spans="1:7" ht="18.75">
      <c r="A271" s="17"/>
      <c r="B271" s="13" t="s">
        <v>26</v>
      </c>
      <c r="C271" s="4" t="s">
        <v>20</v>
      </c>
      <c r="D271" s="9">
        <v>69.5</v>
      </c>
      <c r="E271" s="24">
        <v>82000</v>
      </c>
      <c r="F271" s="25">
        <v>5699000</v>
      </c>
      <c r="G271" s="93"/>
    </row>
    <row r="272" spans="1:7" ht="18.75">
      <c r="A272" s="17"/>
      <c r="B272" s="13" t="s">
        <v>28</v>
      </c>
      <c r="C272" s="4" t="s">
        <v>20</v>
      </c>
      <c r="D272" s="9">
        <v>12</v>
      </c>
      <c r="E272" s="25">
        <v>85000</v>
      </c>
      <c r="F272" s="25">
        <v>1020000</v>
      </c>
      <c r="G272" s="95" t="s">
        <v>187</v>
      </c>
    </row>
    <row r="273" spans="1:7" ht="31.5">
      <c r="A273" s="17"/>
      <c r="B273" s="13" t="s">
        <v>843</v>
      </c>
      <c r="C273" s="8" t="s">
        <v>210</v>
      </c>
      <c r="D273" s="9">
        <v>10</v>
      </c>
      <c r="E273" s="24">
        <v>106810</v>
      </c>
      <c r="F273" s="25">
        <v>1068100</v>
      </c>
      <c r="G273" s="95" t="s">
        <v>903</v>
      </c>
    </row>
    <row r="274" spans="1:7" ht="31.5">
      <c r="A274" s="17"/>
      <c r="B274" s="13" t="s">
        <v>836</v>
      </c>
      <c r="C274" s="8" t="s">
        <v>210</v>
      </c>
      <c r="D274" s="9">
        <v>43</v>
      </c>
      <c r="E274" s="125">
        <v>13640</v>
      </c>
      <c r="F274" s="25">
        <v>586520</v>
      </c>
      <c r="G274" s="95" t="s">
        <v>903</v>
      </c>
    </row>
    <row r="275" spans="1:7" ht="31.5">
      <c r="A275" s="11"/>
      <c r="B275" s="13" t="s">
        <v>873</v>
      </c>
      <c r="C275" s="8" t="s">
        <v>210</v>
      </c>
      <c r="D275" s="10">
        <v>30</v>
      </c>
      <c r="E275" s="125">
        <v>9680</v>
      </c>
      <c r="F275" s="25">
        <v>290400</v>
      </c>
      <c r="G275" s="95" t="s">
        <v>903</v>
      </c>
    </row>
    <row r="276" spans="1:7" ht="15.75">
      <c r="A276" s="11"/>
      <c r="B276" s="12" t="s">
        <v>190</v>
      </c>
      <c r="C276" s="2" t="s">
        <v>189</v>
      </c>
      <c r="D276" s="10">
        <v>1</v>
      </c>
      <c r="E276" s="24">
        <v>3000000</v>
      </c>
      <c r="F276" s="25">
        <v>3000000</v>
      </c>
      <c r="G276" s="93"/>
    </row>
    <row r="277" spans="1:7" ht="63">
      <c r="A277" s="17"/>
      <c r="B277" s="26" t="s">
        <v>89</v>
      </c>
      <c r="C277" s="4" t="s">
        <v>20</v>
      </c>
      <c r="D277" s="10">
        <v>90.97999999999999</v>
      </c>
      <c r="E277" s="24">
        <v>3230000</v>
      </c>
      <c r="F277" s="25">
        <v>293865399.99999994</v>
      </c>
      <c r="G277" s="92"/>
    </row>
    <row r="278" spans="1:7" ht="69">
      <c r="A278" s="17"/>
      <c r="B278" s="11" t="s">
        <v>182</v>
      </c>
      <c r="C278" s="4" t="s">
        <v>20</v>
      </c>
      <c r="D278" s="9">
        <v>5.04</v>
      </c>
      <c r="E278" s="25">
        <v>2920000</v>
      </c>
      <c r="F278" s="25">
        <v>14716800</v>
      </c>
      <c r="G278" s="96" t="s">
        <v>760</v>
      </c>
    </row>
    <row r="279" spans="1:7" ht="47.25">
      <c r="A279" s="17"/>
      <c r="B279" s="29" t="s">
        <v>204</v>
      </c>
      <c r="C279" s="4" t="s">
        <v>20</v>
      </c>
      <c r="D279" s="9">
        <v>5</v>
      </c>
      <c r="E279" s="25">
        <v>2450000</v>
      </c>
      <c r="F279" s="25">
        <v>12250000</v>
      </c>
      <c r="G279" s="93"/>
    </row>
    <row r="280" spans="1:7" ht="31.5">
      <c r="A280" s="17"/>
      <c r="B280" s="13" t="s">
        <v>90</v>
      </c>
      <c r="C280" s="4" t="s">
        <v>20</v>
      </c>
      <c r="D280" s="9">
        <v>8.2</v>
      </c>
      <c r="E280" s="25">
        <v>150000</v>
      </c>
      <c r="F280" s="25">
        <v>1230000</v>
      </c>
      <c r="G280" s="93"/>
    </row>
    <row r="281" spans="1:7" ht="47.25">
      <c r="A281" s="17"/>
      <c r="B281" s="13" t="s">
        <v>788</v>
      </c>
      <c r="C281" s="4" t="s">
        <v>20</v>
      </c>
      <c r="D281" s="9">
        <v>38.79</v>
      </c>
      <c r="E281" s="25">
        <v>498000</v>
      </c>
      <c r="F281" s="25">
        <v>19317420</v>
      </c>
      <c r="G281" s="93"/>
    </row>
    <row r="282" spans="1:7" ht="15.75">
      <c r="A282" s="17"/>
      <c r="B282" s="13" t="s">
        <v>41</v>
      </c>
      <c r="C282" s="2" t="s">
        <v>42</v>
      </c>
      <c r="D282" s="9">
        <v>1</v>
      </c>
      <c r="E282" s="25">
        <v>238000</v>
      </c>
      <c r="F282" s="25">
        <v>238000</v>
      </c>
      <c r="G282" s="93"/>
    </row>
    <row r="283" spans="1:7" ht="78.75">
      <c r="A283" s="17"/>
      <c r="B283" s="11" t="s">
        <v>183</v>
      </c>
      <c r="C283" s="4" t="s">
        <v>20</v>
      </c>
      <c r="D283" s="10">
        <v>52.199999999999996</v>
      </c>
      <c r="E283" s="24">
        <v>2810100</v>
      </c>
      <c r="F283" s="25">
        <v>146687220</v>
      </c>
      <c r="G283" s="92" t="s">
        <v>761</v>
      </c>
    </row>
    <row r="284" spans="1:7" ht="78.75">
      <c r="A284" s="11"/>
      <c r="B284" s="29" t="s">
        <v>103</v>
      </c>
      <c r="C284" s="4" t="s">
        <v>20</v>
      </c>
      <c r="D284" s="7">
        <v>34.0625</v>
      </c>
      <c r="E284" s="129">
        <v>821000</v>
      </c>
      <c r="F284" s="25">
        <v>27965312.5</v>
      </c>
      <c r="G284" s="90"/>
    </row>
    <row r="285" spans="1:7" ht="18.75">
      <c r="A285" s="11"/>
      <c r="B285" s="13" t="s">
        <v>104</v>
      </c>
      <c r="C285" s="4" t="s">
        <v>32</v>
      </c>
      <c r="D285" s="9">
        <v>0.328</v>
      </c>
      <c r="E285" s="25">
        <v>7030000</v>
      </c>
      <c r="F285" s="25">
        <v>2305840</v>
      </c>
      <c r="G285" s="90"/>
    </row>
    <row r="286" spans="1:7" ht="31.5">
      <c r="A286" s="11"/>
      <c r="B286" s="12" t="s">
        <v>313</v>
      </c>
      <c r="C286" s="4" t="s">
        <v>20</v>
      </c>
      <c r="D286" s="9">
        <v>17.36</v>
      </c>
      <c r="E286" s="25">
        <v>150000</v>
      </c>
      <c r="F286" s="25">
        <v>2604000</v>
      </c>
      <c r="G286" s="90"/>
    </row>
    <row r="287" spans="1:7" ht="31.5">
      <c r="A287" s="11"/>
      <c r="B287" s="12" t="s">
        <v>40</v>
      </c>
      <c r="C287" s="4" t="s">
        <v>20</v>
      </c>
      <c r="D287" s="9">
        <v>4.59</v>
      </c>
      <c r="E287" s="25">
        <v>498000</v>
      </c>
      <c r="F287" s="25">
        <v>2285820</v>
      </c>
      <c r="G287" s="90"/>
    </row>
    <row r="288" spans="1:7" ht="31.5">
      <c r="A288" s="11"/>
      <c r="B288" s="13" t="s">
        <v>105</v>
      </c>
      <c r="C288" s="4" t="s">
        <v>20</v>
      </c>
      <c r="D288" s="22">
        <v>11.879999999999999</v>
      </c>
      <c r="E288" s="25">
        <v>325000</v>
      </c>
      <c r="F288" s="25">
        <v>3860999.9999999995</v>
      </c>
      <c r="G288" s="93"/>
    </row>
    <row r="289" spans="1:7" ht="18.75">
      <c r="A289" s="11"/>
      <c r="B289" s="29" t="s">
        <v>27</v>
      </c>
      <c r="C289" s="4" t="s">
        <v>32</v>
      </c>
      <c r="D289" s="9">
        <v>0.324</v>
      </c>
      <c r="E289" s="25">
        <v>1854000</v>
      </c>
      <c r="F289" s="25">
        <v>600696</v>
      </c>
      <c r="G289" s="90"/>
    </row>
    <row r="290" spans="1:7" ht="18.75">
      <c r="A290" s="11"/>
      <c r="B290" s="29" t="s">
        <v>194</v>
      </c>
      <c r="C290" s="4" t="s">
        <v>20</v>
      </c>
      <c r="D290" s="9">
        <v>1.92</v>
      </c>
      <c r="E290" s="25">
        <v>175000</v>
      </c>
      <c r="F290" s="25">
        <v>336000</v>
      </c>
      <c r="G290" s="90"/>
    </row>
    <row r="291" spans="1:7" ht="15.75">
      <c r="A291" s="11"/>
      <c r="B291" s="13" t="s">
        <v>41</v>
      </c>
      <c r="C291" s="2" t="s">
        <v>42</v>
      </c>
      <c r="D291" s="9">
        <v>1</v>
      </c>
      <c r="E291" s="25">
        <v>238000</v>
      </c>
      <c r="F291" s="25">
        <v>238000</v>
      </c>
      <c r="G291" s="90"/>
    </row>
    <row r="292" spans="1:7" ht="31.5">
      <c r="A292" s="11"/>
      <c r="B292" s="13" t="s">
        <v>843</v>
      </c>
      <c r="C292" s="8" t="s">
        <v>210</v>
      </c>
      <c r="D292" s="9">
        <v>25</v>
      </c>
      <c r="E292" s="24">
        <v>106810</v>
      </c>
      <c r="F292" s="25">
        <v>2670250</v>
      </c>
      <c r="G292" s="95" t="s">
        <v>903</v>
      </c>
    </row>
    <row r="293" spans="1:7" ht="31.5">
      <c r="A293" s="11"/>
      <c r="B293" s="13" t="s">
        <v>872</v>
      </c>
      <c r="C293" s="8" t="s">
        <v>210</v>
      </c>
      <c r="D293" s="9">
        <v>20</v>
      </c>
      <c r="E293" s="125">
        <v>44770</v>
      </c>
      <c r="F293" s="25">
        <v>895400</v>
      </c>
      <c r="G293" s="95" t="s">
        <v>903</v>
      </c>
    </row>
    <row r="294" spans="1:7" ht="31.5">
      <c r="A294" s="11"/>
      <c r="B294" s="13" t="s">
        <v>842</v>
      </c>
      <c r="C294" s="8" t="s">
        <v>210</v>
      </c>
      <c r="D294" s="9">
        <v>20</v>
      </c>
      <c r="E294" s="125">
        <v>25300</v>
      </c>
      <c r="F294" s="25">
        <v>506000</v>
      </c>
      <c r="G294" s="95" t="s">
        <v>903</v>
      </c>
    </row>
    <row r="295" spans="2:7" ht="78.75">
      <c r="B295" s="11" t="s">
        <v>109</v>
      </c>
      <c r="C295" s="4" t="s">
        <v>20</v>
      </c>
      <c r="D295" s="10">
        <v>95.28370000000001</v>
      </c>
      <c r="E295" s="24">
        <v>3068500</v>
      </c>
      <c r="F295" s="25">
        <v>292378033.45000005</v>
      </c>
      <c r="G295" s="178" t="s">
        <v>184</v>
      </c>
    </row>
    <row r="296" spans="1:7" ht="66">
      <c r="A296" s="40"/>
      <c r="B296" s="11" t="s">
        <v>110</v>
      </c>
      <c r="C296" s="4" t="s">
        <v>20</v>
      </c>
      <c r="D296" s="9">
        <v>7.805699999999999</v>
      </c>
      <c r="E296" s="25">
        <v>2758500</v>
      </c>
      <c r="F296" s="25">
        <v>21532023.449999996</v>
      </c>
      <c r="G296" s="92" t="s">
        <v>762</v>
      </c>
    </row>
    <row r="297" spans="1:7" ht="78.75">
      <c r="A297" s="40"/>
      <c r="B297" s="48" t="s">
        <v>111</v>
      </c>
      <c r="C297" s="4" t="s">
        <v>20</v>
      </c>
      <c r="D297" s="10">
        <v>4.4503</v>
      </c>
      <c r="E297" s="24">
        <v>2610000</v>
      </c>
      <c r="F297" s="24">
        <v>11615283.000000002</v>
      </c>
      <c r="G297" s="94" t="s">
        <v>751</v>
      </c>
    </row>
    <row r="298" spans="1:7" ht="31.5">
      <c r="A298" s="19"/>
      <c r="B298" s="29" t="s">
        <v>207</v>
      </c>
      <c r="C298" s="36" t="s">
        <v>208</v>
      </c>
      <c r="D298" s="15">
        <v>11.520000000000001</v>
      </c>
      <c r="E298" s="25">
        <v>240000</v>
      </c>
      <c r="F298" s="24">
        <v>2764800.0000000005</v>
      </c>
      <c r="G298" s="95"/>
    </row>
    <row r="299" spans="1:7" ht="31.5">
      <c r="A299" s="30"/>
      <c r="B299" s="48" t="s">
        <v>112</v>
      </c>
      <c r="C299" s="37" t="s">
        <v>20</v>
      </c>
      <c r="D299" s="60">
        <v>51.528</v>
      </c>
      <c r="E299" s="130">
        <v>928000</v>
      </c>
      <c r="F299" s="125">
        <v>47817984</v>
      </c>
      <c r="G299" s="97"/>
    </row>
    <row r="300" spans="1:7" ht="31.5">
      <c r="A300" s="30"/>
      <c r="B300" s="48" t="s">
        <v>840</v>
      </c>
      <c r="C300" s="37" t="s">
        <v>210</v>
      </c>
      <c r="D300" s="70"/>
      <c r="E300" s="128"/>
      <c r="F300" s="125"/>
      <c r="G300" s="97"/>
    </row>
    <row r="301" spans="1:7" ht="18.75">
      <c r="A301" s="30"/>
      <c r="B301" s="48" t="s">
        <v>113</v>
      </c>
      <c r="C301" s="37" t="s">
        <v>32</v>
      </c>
      <c r="D301" s="60">
        <v>2.4359999999999995</v>
      </c>
      <c r="E301" s="130">
        <v>1175000</v>
      </c>
      <c r="F301" s="125">
        <v>2862299.9999999995</v>
      </c>
      <c r="G301" s="97"/>
    </row>
    <row r="302" spans="1:7" ht="18.75">
      <c r="A302" s="11"/>
      <c r="B302" s="12" t="s">
        <v>114</v>
      </c>
      <c r="C302" s="4" t="s">
        <v>32</v>
      </c>
      <c r="D302" s="10">
        <v>0.9</v>
      </c>
      <c r="E302" s="24">
        <v>1514000</v>
      </c>
      <c r="F302" s="25">
        <v>1362600</v>
      </c>
      <c r="G302" s="93"/>
    </row>
    <row r="303" spans="1:7" ht="18.75">
      <c r="A303" s="11"/>
      <c r="B303" s="12" t="s">
        <v>115</v>
      </c>
      <c r="C303" s="4" t="s">
        <v>20</v>
      </c>
      <c r="D303" s="10">
        <v>47.615</v>
      </c>
      <c r="E303" s="24">
        <v>240000</v>
      </c>
      <c r="F303" s="25">
        <v>11427600</v>
      </c>
      <c r="G303" s="93"/>
    </row>
    <row r="304" spans="1:7" ht="18.75">
      <c r="A304" s="11"/>
      <c r="B304" s="12" t="s">
        <v>116</v>
      </c>
      <c r="C304" s="4" t="s">
        <v>20</v>
      </c>
      <c r="D304" s="10">
        <v>4.7685</v>
      </c>
      <c r="E304" s="24">
        <v>240000</v>
      </c>
      <c r="F304" s="25">
        <v>1144440</v>
      </c>
      <c r="G304" s="93"/>
    </row>
    <row r="305" spans="1:7" ht="18.75">
      <c r="A305" s="11"/>
      <c r="B305" s="12" t="s">
        <v>36</v>
      </c>
      <c r="C305" s="4" t="s">
        <v>20</v>
      </c>
      <c r="D305" s="10">
        <v>7.5200000000000005</v>
      </c>
      <c r="E305" s="25">
        <v>125000</v>
      </c>
      <c r="F305" s="25">
        <v>940000</v>
      </c>
      <c r="G305" s="93"/>
    </row>
    <row r="306" spans="1:7" ht="31.5">
      <c r="A306" s="11"/>
      <c r="B306" s="12" t="s">
        <v>40</v>
      </c>
      <c r="C306" s="4" t="s">
        <v>20</v>
      </c>
      <c r="D306" s="10">
        <v>50.5</v>
      </c>
      <c r="E306" s="25">
        <v>498000</v>
      </c>
      <c r="F306" s="25">
        <v>25149000</v>
      </c>
      <c r="G306" s="93"/>
    </row>
    <row r="307" spans="1:7" ht="31.5">
      <c r="A307" s="11"/>
      <c r="B307" s="12" t="s">
        <v>872</v>
      </c>
      <c r="C307" s="8" t="s">
        <v>210</v>
      </c>
      <c r="D307" s="10">
        <v>10</v>
      </c>
      <c r="E307" s="125">
        <v>44770</v>
      </c>
      <c r="F307" s="25">
        <v>447700</v>
      </c>
      <c r="G307" s="95" t="s">
        <v>903</v>
      </c>
    </row>
    <row r="308" spans="1:7" ht="31.5">
      <c r="A308" s="11"/>
      <c r="B308" s="12" t="s">
        <v>836</v>
      </c>
      <c r="C308" s="8" t="s">
        <v>210</v>
      </c>
      <c r="D308" s="10">
        <v>40</v>
      </c>
      <c r="E308" s="125">
        <v>13640</v>
      </c>
      <c r="F308" s="25">
        <v>545600</v>
      </c>
      <c r="G308" s="95" t="s">
        <v>903</v>
      </c>
    </row>
    <row r="309" spans="1:7" ht="18.75">
      <c r="A309" s="11"/>
      <c r="B309" s="12" t="s">
        <v>25</v>
      </c>
      <c r="C309" s="4" t="s">
        <v>32</v>
      </c>
      <c r="D309" s="10">
        <v>1.9500000000000002</v>
      </c>
      <c r="E309" s="25">
        <v>1250000</v>
      </c>
      <c r="F309" s="25">
        <v>2437500</v>
      </c>
      <c r="G309" s="93"/>
    </row>
    <row r="310" spans="1:7" ht="18.75">
      <c r="A310" s="11"/>
      <c r="B310" s="12" t="s">
        <v>26</v>
      </c>
      <c r="C310" s="4" t="s">
        <v>20</v>
      </c>
      <c r="D310" s="10">
        <v>19.4</v>
      </c>
      <c r="E310" s="24">
        <v>82000</v>
      </c>
      <c r="F310" s="25">
        <v>1590799.9999999998</v>
      </c>
      <c r="G310" s="93"/>
    </row>
    <row r="311" spans="1:7" ht="31.5">
      <c r="A311" s="17"/>
      <c r="B311" s="11" t="s">
        <v>120</v>
      </c>
      <c r="C311" s="4" t="s">
        <v>20</v>
      </c>
      <c r="D311" s="10">
        <v>4.928000000000001</v>
      </c>
      <c r="E311" s="24">
        <v>325000</v>
      </c>
      <c r="F311" s="25">
        <v>1601600.0000000002</v>
      </c>
      <c r="G311" s="93"/>
    </row>
    <row r="312" spans="1:7" ht="18.75">
      <c r="A312" s="40"/>
      <c r="B312" s="12" t="s">
        <v>121</v>
      </c>
      <c r="C312" s="4" t="s">
        <v>32</v>
      </c>
      <c r="D312" s="9">
        <v>0.198</v>
      </c>
      <c r="E312" s="25">
        <v>1854000</v>
      </c>
      <c r="F312" s="25">
        <v>367092</v>
      </c>
      <c r="G312" s="93"/>
    </row>
    <row r="313" spans="2:7" ht="18.75">
      <c r="B313" s="13" t="s">
        <v>36</v>
      </c>
      <c r="C313" s="4" t="s">
        <v>20</v>
      </c>
      <c r="D313" s="9">
        <v>9.6</v>
      </c>
      <c r="E313" s="25">
        <v>125000</v>
      </c>
      <c r="F313" s="25">
        <v>1200000</v>
      </c>
      <c r="G313" s="93"/>
    </row>
    <row r="314" spans="1:7" ht="78.75">
      <c r="A314" s="17"/>
      <c r="B314" s="30" t="s">
        <v>198</v>
      </c>
      <c r="C314" s="4" t="s">
        <v>20</v>
      </c>
      <c r="D314" s="9">
        <v>22.33</v>
      </c>
      <c r="E314" s="24">
        <v>2261000</v>
      </c>
      <c r="F314" s="25">
        <v>50488129.99999999</v>
      </c>
      <c r="G314" s="92" t="s">
        <v>306</v>
      </c>
    </row>
    <row r="315" spans="1:7" ht="78">
      <c r="A315" s="17"/>
      <c r="B315" s="30" t="s">
        <v>196</v>
      </c>
      <c r="C315" s="4" t="s">
        <v>20</v>
      </c>
      <c r="D315" s="9">
        <v>13.229999999999999</v>
      </c>
      <c r="E315" s="25">
        <v>2101000</v>
      </c>
      <c r="F315" s="25">
        <v>27796229.999999996</v>
      </c>
      <c r="G315" s="92" t="s">
        <v>763</v>
      </c>
    </row>
    <row r="316" spans="1:7" ht="60">
      <c r="A316" s="17"/>
      <c r="B316" s="30" t="s">
        <v>197</v>
      </c>
      <c r="C316" s="4" t="s">
        <v>20</v>
      </c>
      <c r="D316" s="9">
        <v>9.1</v>
      </c>
      <c r="E316" s="25">
        <v>2261000</v>
      </c>
      <c r="F316" s="25">
        <v>20575100</v>
      </c>
      <c r="G316" s="92" t="s">
        <v>199</v>
      </c>
    </row>
    <row r="317" spans="1:7" ht="31.5">
      <c r="A317" s="17"/>
      <c r="B317" s="12" t="s">
        <v>125</v>
      </c>
      <c r="C317" s="4" t="s">
        <v>20</v>
      </c>
      <c r="D317" s="9">
        <v>27.040000000000003</v>
      </c>
      <c r="E317" s="25">
        <v>150000</v>
      </c>
      <c r="F317" s="25">
        <v>4056000.0000000005</v>
      </c>
      <c r="G317" s="93"/>
    </row>
    <row r="318" spans="1:7" ht="18.75">
      <c r="A318" s="17"/>
      <c r="B318" s="13" t="s">
        <v>116</v>
      </c>
      <c r="C318" s="4" t="s">
        <v>20</v>
      </c>
      <c r="D318" s="9">
        <v>10.889999999999999</v>
      </c>
      <c r="E318" s="25">
        <v>240000</v>
      </c>
      <c r="F318" s="25">
        <v>2613599.9999999995</v>
      </c>
      <c r="G318" s="93"/>
    </row>
    <row r="319" spans="1:7" ht="18.75">
      <c r="A319" s="17"/>
      <c r="B319" s="13" t="s">
        <v>25</v>
      </c>
      <c r="C319" s="4" t="s">
        <v>32</v>
      </c>
      <c r="D319" s="9">
        <v>2.7390000000000003</v>
      </c>
      <c r="E319" s="25">
        <v>1250000</v>
      </c>
      <c r="F319" s="25">
        <v>3423750.0000000005</v>
      </c>
      <c r="G319" s="93"/>
    </row>
    <row r="320" spans="1:7" ht="18.75">
      <c r="A320" s="17"/>
      <c r="B320" s="13" t="s">
        <v>26</v>
      </c>
      <c r="C320" s="4" t="s">
        <v>20</v>
      </c>
      <c r="D320" s="9">
        <v>85.675</v>
      </c>
      <c r="E320" s="24">
        <v>82000</v>
      </c>
      <c r="F320" s="25">
        <v>7025350</v>
      </c>
      <c r="G320" s="93"/>
    </row>
    <row r="321" spans="1:7" ht="31.5">
      <c r="A321" s="17"/>
      <c r="B321" s="13" t="s">
        <v>120</v>
      </c>
      <c r="C321" s="4" t="s">
        <v>20</v>
      </c>
      <c r="D321" s="9">
        <v>22.41</v>
      </c>
      <c r="E321" s="24">
        <v>325000</v>
      </c>
      <c r="F321" s="25">
        <v>7283250</v>
      </c>
      <c r="G321" s="93"/>
    </row>
    <row r="322" spans="1:7" ht="47.25">
      <c r="A322" s="11"/>
      <c r="B322" s="13" t="s">
        <v>126</v>
      </c>
      <c r="C322" s="4" t="s">
        <v>20</v>
      </c>
      <c r="D322" s="10">
        <v>21.7</v>
      </c>
      <c r="E322" s="25">
        <v>736000</v>
      </c>
      <c r="F322" s="25">
        <v>15971200</v>
      </c>
      <c r="G322" s="93"/>
    </row>
    <row r="323" spans="1:7" ht="31.5">
      <c r="A323" s="11"/>
      <c r="B323" s="12" t="s">
        <v>127</v>
      </c>
      <c r="C323" s="4" t="s">
        <v>20</v>
      </c>
      <c r="D323" s="10">
        <v>18.2</v>
      </c>
      <c r="E323" s="24">
        <v>325000</v>
      </c>
      <c r="F323" s="25">
        <v>5915000</v>
      </c>
      <c r="G323" s="93"/>
    </row>
    <row r="324" spans="1:7" ht="47.25">
      <c r="A324" s="17"/>
      <c r="B324" s="13" t="s">
        <v>966</v>
      </c>
      <c r="C324" s="4" t="s">
        <v>20</v>
      </c>
      <c r="D324" s="7">
        <v>11.959999999999999</v>
      </c>
      <c r="E324" s="24">
        <v>325000</v>
      </c>
      <c r="F324" s="25">
        <v>3886999.9999999995</v>
      </c>
      <c r="G324" s="90"/>
    </row>
    <row r="325" spans="1:7" ht="18.75">
      <c r="A325" s="17"/>
      <c r="B325" s="30" t="s">
        <v>25</v>
      </c>
      <c r="C325" s="37" t="s">
        <v>32</v>
      </c>
      <c r="D325" s="10">
        <v>0.75</v>
      </c>
      <c r="E325" s="24">
        <v>1250000</v>
      </c>
      <c r="F325" s="25">
        <v>937500</v>
      </c>
      <c r="G325" s="93"/>
    </row>
    <row r="326" spans="1:7" ht="18.75">
      <c r="A326" s="40"/>
      <c r="B326" s="30" t="s">
        <v>26</v>
      </c>
      <c r="C326" s="37" t="s">
        <v>20</v>
      </c>
      <c r="D326" s="9">
        <v>15</v>
      </c>
      <c r="E326" s="24">
        <v>82000</v>
      </c>
      <c r="F326" s="25">
        <v>1230000</v>
      </c>
      <c r="G326" s="93"/>
    </row>
    <row r="327" spans="1:7" ht="31.5">
      <c r="A327" s="40"/>
      <c r="B327" s="12" t="s">
        <v>578</v>
      </c>
      <c r="C327" s="4" t="s">
        <v>20</v>
      </c>
      <c r="D327" s="9">
        <v>4.960000000000001</v>
      </c>
      <c r="E327" s="25">
        <v>110000</v>
      </c>
      <c r="F327" s="25">
        <v>545600.0000000001</v>
      </c>
      <c r="G327" s="93"/>
    </row>
    <row r="328" spans="1:7" ht="47.25">
      <c r="A328" s="3"/>
      <c r="B328" s="13" t="s">
        <v>1024</v>
      </c>
      <c r="C328" s="4" t="s">
        <v>20</v>
      </c>
      <c r="D328" s="9">
        <v>13.799999999999999</v>
      </c>
      <c r="E328" s="25">
        <v>410000</v>
      </c>
      <c r="F328" s="25">
        <v>5658000</v>
      </c>
      <c r="G328" s="93"/>
    </row>
    <row r="329" spans="1:7" ht="94.5">
      <c r="A329" s="11"/>
      <c r="B329" s="13" t="s">
        <v>185</v>
      </c>
      <c r="C329" s="4" t="s">
        <v>20</v>
      </c>
      <c r="D329" s="7">
        <v>87.71999999999998</v>
      </c>
      <c r="E329" s="25">
        <v>3230000</v>
      </c>
      <c r="F329" s="25">
        <v>283335599.99999994</v>
      </c>
      <c r="G329" s="91" t="s">
        <v>748</v>
      </c>
    </row>
    <row r="330" spans="1:7" ht="18.75">
      <c r="A330" s="11"/>
      <c r="B330" s="11" t="s">
        <v>138</v>
      </c>
      <c r="C330" s="4" t="s">
        <v>20</v>
      </c>
      <c r="D330" s="10">
        <v>10.375</v>
      </c>
      <c r="E330" s="24">
        <v>928000</v>
      </c>
      <c r="F330" s="25">
        <v>9628000</v>
      </c>
      <c r="G330" s="93"/>
    </row>
    <row r="331" spans="1:7" ht="31.5">
      <c r="A331" s="40"/>
      <c r="B331" s="12" t="s">
        <v>35</v>
      </c>
      <c r="C331" s="4" t="s">
        <v>20</v>
      </c>
      <c r="D331" s="9">
        <v>106.5</v>
      </c>
      <c r="E331" s="25">
        <v>325000</v>
      </c>
      <c r="F331" s="25">
        <v>34612500</v>
      </c>
      <c r="G331" s="93"/>
    </row>
    <row r="332" spans="1:7" ht="31.5">
      <c r="A332" s="40"/>
      <c r="B332" s="12" t="s">
        <v>139</v>
      </c>
      <c r="C332" s="4" t="s">
        <v>20</v>
      </c>
      <c r="D332" s="10">
        <v>30.07</v>
      </c>
      <c r="E332" s="24">
        <v>498000</v>
      </c>
      <c r="F332" s="25">
        <v>14974860</v>
      </c>
      <c r="G332" s="93"/>
    </row>
    <row r="333" spans="1:7" ht="31.5">
      <c r="A333" s="11"/>
      <c r="B333" s="12" t="s">
        <v>40</v>
      </c>
      <c r="C333" s="4" t="s">
        <v>20</v>
      </c>
      <c r="D333" s="10">
        <v>7.2749999999999995</v>
      </c>
      <c r="E333" s="24">
        <v>498000</v>
      </c>
      <c r="F333" s="25">
        <v>3622949.9999999995</v>
      </c>
      <c r="G333" s="93"/>
    </row>
    <row r="334" spans="1:7" ht="18.75">
      <c r="A334" s="11"/>
      <c r="B334" s="12" t="s">
        <v>140</v>
      </c>
      <c r="C334" s="4" t="s">
        <v>32</v>
      </c>
      <c r="D334" s="10">
        <v>8.949</v>
      </c>
      <c r="E334" s="24">
        <v>1670000</v>
      </c>
      <c r="F334" s="25">
        <v>14944830</v>
      </c>
      <c r="G334" s="93"/>
    </row>
    <row r="335" spans="1:7" ht="18.75">
      <c r="A335" s="11"/>
      <c r="B335" s="12" t="s">
        <v>28</v>
      </c>
      <c r="C335" s="4" t="s">
        <v>20</v>
      </c>
      <c r="D335" s="10">
        <v>6.600499999999999</v>
      </c>
      <c r="E335" s="24">
        <v>85000</v>
      </c>
      <c r="F335" s="25">
        <v>561042.5</v>
      </c>
      <c r="G335" s="95" t="s">
        <v>187</v>
      </c>
    </row>
    <row r="336" spans="1:7" ht="18.75">
      <c r="A336" s="11"/>
      <c r="B336" s="12" t="s">
        <v>27</v>
      </c>
      <c r="C336" s="4" t="s">
        <v>32</v>
      </c>
      <c r="D336" s="10">
        <v>0.8000000000000002</v>
      </c>
      <c r="E336" s="25">
        <v>1854000</v>
      </c>
      <c r="F336" s="25">
        <v>1483200.0000000002</v>
      </c>
      <c r="G336" s="93"/>
    </row>
    <row r="337" spans="1:7" ht="18.75">
      <c r="A337" s="11"/>
      <c r="B337" s="12" t="s">
        <v>25</v>
      </c>
      <c r="C337" s="4" t="s">
        <v>32</v>
      </c>
      <c r="D337" s="10">
        <v>0.13</v>
      </c>
      <c r="E337" s="25">
        <v>1250000</v>
      </c>
      <c r="F337" s="25">
        <v>162500</v>
      </c>
      <c r="G337" s="93"/>
    </row>
    <row r="338" spans="1:7" ht="18.75">
      <c r="A338" s="11"/>
      <c r="B338" s="12" t="s">
        <v>26</v>
      </c>
      <c r="C338" s="4" t="s">
        <v>20</v>
      </c>
      <c r="D338" s="10">
        <v>3.3</v>
      </c>
      <c r="E338" s="24">
        <v>82000</v>
      </c>
      <c r="F338" s="153">
        <v>270600</v>
      </c>
      <c r="G338" s="93"/>
    </row>
    <row r="339" spans="1:7" ht="15.75">
      <c r="A339" s="11"/>
      <c r="B339" s="12" t="s">
        <v>41</v>
      </c>
      <c r="C339" s="4" t="s">
        <v>42</v>
      </c>
      <c r="D339" s="10">
        <v>1</v>
      </c>
      <c r="E339" s="25">
        <v>238000</v>
      </c>
      <c r="F339" s="153">
        <v>238000</v>
      </c>
      <c r="G339" s="102"/>
    </row>
    <row r="340" spans="1:7" ht="15.75">
      <c r="A340" s="11"/>
      <c r="B340" s="12" t="s">
        <v>141</v>
      </c>
      <c r="C340" s="2" t="s">
        <v>189</v>
      </c>
      <c r="D340" s="10">
        <v>1</v>
      </c>
      <c r="E340" s="24">
        <v>5500000</v>
      </c>
      <c r="F340" s="153">
        <v>5500000</v>
      </c>
      <c r="G340" s="93"/>
    </row>
    <row r="341" spans="1:7" ht="31.5">
      <c r="A341" s="11"/>
      <c r="B341" s="12" t="s">
        <v>842</v>
      </c>
      <c r="C341" s="8" t="s">
        <v>210</v>
      </c>
      <c r="D341" s="10">
        <v>10</v>
      </c>
      <c r="E341" s="125">
        <v>25300</v>
      </c>
      <c r="F341" s="25">
        <v>253000</v>
      </c>
      <c r="G341" s="95" t="s">
        <v>903</v>
      </c>
    </row>
    <row r="342" spans="1:7" ht="31.5">
      <c r="A342" s="11"/>
      <c r="B342" s="12" t="s">
        <v>843</v>
      </c>
      <c r="C342" s="8" t="s">
        <v>210</v>
      </c>
      <c r="D342" s="10">
        <v>25</v>
      </c>
      <c r="E342" s="24">
        <v>106810</v>
      </c>
      <c r="F342" s="25">
        <v>2670250</v>
      </c>
      <c r="G342" s="95" t="s">
        <v>903</v>
      </c>
    </row>
    <row r="343" spans="1:7" ht="31.5">
      <c r="A343" s="11"/>
      <c r="B343" s="12" t="s">
        <v>149</v>
      </c>
      <c r="C343" s="4" t="s">
        <v>192</v>
      </c>
      <c r="D343" s="10">
        <v>3</v>
      </c>
      <c r="E343" s="24">
        <v>900000</v>
      </c>
      <c r="F343" s="25">
        <v>2700000</v>
      </c>
      <c r="G343" s="94" t="s">
        <v>187</v>
      </c>
    </row>
    <row r="344" spans="1:7" ht="18.75">
      <c r="A344" s="11"/>
      <c r="B344" s="12" t="s">
        <v>169</v>
      </c>
      <c r="C344" s="4" t="s">
        <v>32</v>
      </c>
      <c r="D344" s="10">
        <v>1.4000000000000001</v>
      </c>
      <c r="E344" s="24">
        <v>1684000</v>
      </c>
      <c r="F344" s="25">
        <v>2357600</v>
      </c>
      <c r="G344" s="93"/>
    </row>
    <row r="345" spans="1:7" ht="31.5">
      <c r="A345" s="11"/>
      <c r="B345" s="12" t="s">
        <v>875</v>
      </c>
      <c r="C345" s="4" t="s">
        <v>31</v>
      </c>
      <c r="D345" s="10">
        <v>70</v>
      </c>
      <c r="E345" s="128"/>
      <c r="F345" s="25">
        <v>0</v>
      </c>
      <c r="G345" s="93"/>
    </row>
    <row r="346" spans="1:7" ht="31.5">
      <c r="A346" s="40"/>
      <c r="B346" s="11" t="s">
        <v>876</v>
      </c>
      <c r="C346" s="8" t="s">
        <v>210</v>
      </c>
      <c r="D346" s="10">
        <v>120</v>
      </c>
      <c r="E346" s="130">
        <v>19140</v>
      </c>
      <c r="F346" s="25">
        <v>2296800</v>
      </c>
      <c r="G346" s="93"/>
    </row>
    <row r="347" spans="1:7" ht="18.75">
      <c r="A347" s="11"/>
      <c r="B347" s="13" t="s">
        <v>28</v>
      </c>
      <c r="C347" s="4" t="s">
        <v>20</v>
      </c>
      <c r="D347" s="7">
        <v>10.6</v>
      </c>
      <c r="E347" s="25">
        <v>85000</v>
      </c>
      <c r="F347" s="25">
        <v>901000</v>
      </c>
      <c r="G347" s="94" t="s">
        <v>187</v>
      </c>
    </row>
    <row r="348" spans="1:7" ht="31.5">
      <c r="A348" s="17"/>
      <c r="B348" s="11" t="s">
        <v>439</v>
      </c>
      <c r="C348" s="4" t="s">
        <v>20</v>
      </c>
      <c r="D348" s="10">
        <v>100.26</v>
      </c>
      <c r="E348" s="25">
        <v>325000</v>
      </c>
      <c r="F348" s="25">
        <v>32584500</v>
      </c>
      <c r="G348" s="93"/>
    </row>
    <row r="349" spans="1:7" ht="31.5">
      <c r="A349" s="17"/>
      <c r="B349" s="12" t="s">
        <v>39</v>
      </c>
      <c r="C349" s="4" t="s">
        <v>20</v>
      </c>
      <c r="D349" s="9">
        <v>12</v>
      </c>
      <c r="E349" s="25">
        <v>110000</v>
      </c>
      <c r="F349" s="25">
        <v>1320000</v>
      </c>
      <c r="G349" s="93"/>
    </row>
    <row r="350" spans="1:7" ht="31.5">
      <c r="A350" s="17"/>
      <c r="B350" s="30" t="s">
        <v>147</v>
      </c>
      <c r="C350" s="4" t="s">
        <v>32</v>
      </c>
      <c r="D350" s="10">
        <v>17.84</v>
      </c>
      <c r="E350" s="131">
        <v>1250000</v>
      </c>
      <c r="F350" s="25">
        <v>22300000</v>
      </c>
      <c r="G350" s="93"/>
    </row>
    <row r="351" spans="1:7" ht="18.75">
      <c r="A351" s="62"/>
      <c r="B351" s="48" t="s">
        <v>148</v>
      </c>
      <c r="C351" s="37" t="s">
        <v>32</v>
      </c>
      <c r="D351" s="50">
        <v>1.548</v>
      </c>
      <c r="E351" s="136">
        <v>5944000</v>
      </c>
      <c r="F351" s="125">
        <v>9201312</v>
      </c>
      <c r="G351" s="106"/>
    </row>
    <row r="352" spans="1:7" ht="78.75">
      <c r="A352" s="17"/>
      <c r="B352" s="13" t="s">
        <v>193</v>
      </c>
      <c r="C352" s="2" t="s">
        <v>20</v>
      </c>
      <c r="D352" s="7">
        <v>67.97399999999999</v>
      </c>
      <c r="E352" s="25">
        <v>3230000</v>
      </c>
      <c r="F352" s="25">
        <v>219556019.99999997</v>
      </c>
      <c r="G352" s="90"/>
    </row>
    <row r="353" spans="1:7" ht="31.5">
      <c r="A353" s="62"/>
      <c r="B353" s="30" t="s">
        <v>154</v>
      </c>
      <c r="C353" s="37" t="s">
        <v>32</v>
      </c>
      <c r="D353" s="60">
        <v>0.905</v>
      </c>
      <c r="E353" s="125">
        <v>7030000</v>
      </c>
      <c r="F353" s="125">
        <v>6362150</v>
      </c>
      <c r="G353" s="97"/>
    </row>
    <row r="354" spans="1:7" ht="78.75">
      <c r="A354" s="11"/>
      <c r="B354" s="12" t="s">
        <v>155</v>
      </c>
      <c r="C354" s="4" t="s">
        <v>20</v>
      </c>
      <c r="D354" s="9">
        <v>63.2</v>
      </c>
      <c r="E354" s="25">
        <v>3230000</v>
      </c>
      <c r="F354" s="25">
        <v>204136000</v>
      </c>
      <c r="G354" s="92"/>
    </row>
    <row r="355" spans="1:7" ht="47.25">
      <c r="A355" s="17"/>
      <c r="B355" s="13" t="s">
        <v>156</v>
      </c>
      <c r="C355" s="4" t="s">
        <v>20</v>
      </c>
      <c r="D355" s="9">
        <v>43.74</v>
      </c>
      <c r="E355" s="129">
        <v>736000</v>
      </c>
      <c r="F355" s="25">
        <v>32192640</v>
      </c>
      <c r="G355" s="93"/>
    </row>
    <row r="356" spans="1:7" ht="31.5">
      <c r="A356" s="17"/>
      <c r="B356" s="13" t="s">
        <v>21</v>
      </c>
      <c r="C356" s="4" t="s">
        <v>20</v>
      </c>
      <c r="D356" s="9">
        <v>14.080000000000002</v>
      </c>
      <c r="E356" s="25">
        <v>325000</v>
      </c>
      <c r="F356" s="25">
        <v>4576000.000000001</v>
      </c>
      <c r="G356" s="93"/>
    </row>
    <row r="357" spans="1:7" ht="18.75">
      <c r="A357" s="17"/>
      <c r="B357" s="13" t="s">
        <v>27</v>
      </c>
      <c r="C357" s="4" t="s">
        <v>32</v>
      </c>
      <c r="D357" s="9">
        <v>0.414</v>
      </c>
      <c r="E357" s="25">
        <v>1854000</v>
      </c>
      <c r="F357" s="25">
        <v>767556</v>
      </c>
      <c r="G357" s="93"/>
    </row>
    <row r="358" spans="1:7" ht="18.75">
      <c r="A358" s="17"/>
      <c r="B358" s="13" t="s">
        <v>25</v>
      </c>
      <c r="C358" s="4" t="s">
        <v>32</v>
      </c>
      <c r="D358" s="9">
        <v>10.245000000000001</v>
      </c>
      <c r="E358" s="25">
        <v>1250000</v>
      </c>
      <c r="F358" s="25">
        <v>12806250.000000002</v>
      </c>
      <c r="G358" s="93"/>
    </row>
    <row r="359" spans="1:7" ht="18.75">
      <c r="A359" s="17"/>
      <c r="B359" s="13" t="s">
        <v>26</v>
      </c>
      <c r="C359" s="4" t="s">
        <v>20</v>
      </c>
      <c r="D359" s="9">
        <v>102.45</v>
      </c>
      <c r="E359" s="24">
        <v>82000</v>
      </c>
      <c r="F359" s="25">
        <v>8400900</v>
      </c>
      <c r="G359" s="93"/>
    </row>
    <row r="360" spans="1:7" ht="18.75">
      <c r="A360" s="17"/>
      <c r="B360" s="13" t="s">
        <v>116</v>
      </c>
      <c r="C360" s="4" t="s">
        <v>20</v>
      </c>
      <c r="D360" s="9">
        <v>17.2375</v>
      </c>
      <c r="E360" s="25">
        <v>240000</v>
      </c>
      <c r="F360" s="25">
        <v>4137000</v>
      </c>
      <c r="G360" s="93"/>
    </row>
    <row r="361" spans="1:7" ht="47.25">
      <c r="A361" s="17"/>
      <c r="B361" s="13" t="s">
        <v>79</v>
      </c>
      <c r="C361" s="4" t="s">
        <v>20</v>
      </c>
      <c r="D361" s="9">
        <v>5.5</v>
      </c>
      <c r="E361" s="24">
        <v>498000</v>
      </c>
      <c r="F361" s="25">
        <v>2739000</v>
      </c>
      <c r="G361" s="93"/>
    </row>
    <row r="362" spans="1:7" ht="18.75">
      <c r="A362" s="17"/>
      <c r="B362" s="13" t="s">
        <v>30</v>
      </c>
      <c r="C362" s="4" t="s">
        <v>20</v>
      </c>
      <c r="D362" s="9">
        <v>9.9</v>
      </c>
      <c r="E362" s="25">
        <v>240000</v>
      </c>
      <c r="F362" s="25">
        <v>2376000</v>
      </c>
      <c r="G362" s="93"/>
    </row>
    <row r="363" spans="1:7" ht="31.5">
      <c r="A363" s="17"/>
      <c r="B363" s="13" t="s">
        <v>836</v>
      </c>
      <c r="C363" s="8" t="s">
        <v>210</v>
      </c>
      <c r="D363" s="9">
        <v>88</v>
      </c>
      <c r="E363" s="125">
        <v>13640</v>
      </c>
      <c r="F363" s="25">
        <v>1200320</v>
      </c>
      <c r="G363" s="95" t="s">
        <v>903</v>
      </c>
    </row>
    <row r="364" spans="1:7" ht="31.5">
      <c r="A364" s="17"/>
      <c r="B364" s="13" t="s">
        <v>872</v>
      </c>
      <c r="C364" s="8" t="s">
        <v>210</v>
      </c>
      <c r="D364" s="9">
        <v>70</v>
      </c>
      <c r="E364" s="125">
        <v>44770</v>
      </c>
      <c r="F364" s="25">
        <v>3133900</v>
      </c>
      <c r="G364" s="95" t="s">
        <v>903</v>
      </c>
    </row>
    <row r="365" spans="1:7" ht="31.5">
      <c r="A365" s="17"/>
      <c r="B365" s="13" t="s">
        <v>843</v>
      </c>
      <c r="C365" s="8" t="s">
        <v>210</v>
      </c>
      <c r="D365" s="9">
        <v>8</v>
      </c>
      <c r="E365" s="24">
        <v>106810</v>
      </c>
      <c r="F365" s="25">
        <v>854480</v>
      </c>
      <c r="G365" s="95" t="s">
        <v>903</v>
      </c>
    </row>
    <row r="366" spans="1:7" ht="18.75">
      <c r="A366" s="17"/>
      <c r="B366" s="13" t="s">
        <v>157</v>
      </c>
      <c r="C366" s="4" t="s">
        <v>32</v>
      </c>
      <c r="D366" s="9">
        <v>0.672</v>
      </c>
      <c r="E366" s="24">
        <v>1684000</v>
      </c>
      <c r="F366" s="25">
        <v>1131648</v>
      </c>
      <c r="G366" s="93"/>
    </row>
    <row r="367" spans="1:7" ht="31.5">
      <c r="A367" s="62"/>
      <c r="B367" s="29" t="s">
        <v>844</v>
      </c>
      <c r="C367" s="49" t="s">
        <v>42</v>
      </c>
      <c r="D367" s="50">
        <v>2</v>
      </c>
      <c r="E367" s="125">
        <v>3568000</v>
      </c>
      <c r="F367" s="125">
        <v>7136000</v>
      </c>
      <c r="G367" s="97"/>
    </row>
    <row r="368" spans="1:7" ht="15.75">
      <c r="A368" s="17"/>
      <c r="B368" s="13" t="s">
        <v>188</v>
      </c>
      <c r="C368" s="2" t="s">
        <v>42</v>
      </c>
      <c r="D368" s="9">
        <v>1</v>
      </c>
      <c r="E368" s="25">
        <v>820000</v>
      </c>
      <c r="F368" s="25">
        <v>820000</v>
      </c>
      <c r="G368" s="94" t="s">
        <v>187</v>
      </c>
    </row>
    <row r="369" spans="1:7" ht="18.75">
      <c r="A369" s="17"/>
      <c r="B369" s="13" t="s">
        <v>28</v>
      </c>
      <c r="C369" s="4" t="s">
        <v>20</v>
      </c>
      <c r="D369" s="9">
        <v>5.76</v>
      </c>
      <c r="E369" s="25">
        <v>85000</v>
      </c>
      <c r="F369" s="25">
        <v>489600</v>
      </c>
      <c r="G369" s="95" t="s">
        <v>187</v>
      </c>
    </row>
    <row r="370" spans="1:7" ht="78.75">
      <c r="A370" s="17"/>
      <c r="B370" s="11" t="s">
        <v>161</v>
      </c>
      <c r="C370" s="4" t="s">
        <v>20</v>
      </c>
      <c r="D370" s="10">
        <v>56</v>
      </c>
      <c r="E370" s="24">
        <v>2810100</v>
      </c>
      <c r="F370" s="25">
        <v>157365600</v>
      </c>
      <c r="G370" s="92" t="s">
        <v>307</v>
      </c>
    </row>
    <row r="371" spans="1:7" ht="63">
      <c r="A371" s="17"/>
      <c r="B371" s="12" t="s">
        <v>200</v>
      </c>
      <c r="C371" s="4" t="s">
        <v>20</v>
      </c>
      <c r="D371" s="9">
        <v>21.25</v>
      </c>
      <c r="E371" s="25">
        <v>2821600</v>
      </c>
      <c r="F371" s="25">
        <v>59959000</v>
      </c>
      <c r="G371" s="92" t="s">
        <v>764</v>
      </c>
    </row>
    <row r="372" spans="1:7" ht="18.75">
      <c r="A372" s="17"/>
      <c r="B372" s="13" t="s">
        <v>27</v>
      </c>
      <c r="C372" s="4" t="s">
        <v>32</v>
      </c>
      <c r="D372" s="9">
        <v>0.6749999999999999</v>
      </c>
      <c r="E372" s="25">
        <v>1854000</v>
      </c>
      <c r="F372" s="25">
        <v>1251449.9999999998</v>
      </c>
      <c r="G372" s="93"/>
    </row>
    <row r="373" spans="1:7" ht="18.75">
      <c r="A373" s="17"/>
      <c r="B373" s="13" t="s">
        <v>26</v>
      </c>
      <c r="C373" s="4" t="s">
        <v>20</v>
      </c>
      <c r="D373" s="9">
        <v>9</v>
      </c>
      <c r="E373" s="24">
        <v>82000</v>
      </c>
      <c r="F373" s="25">
        <v>738000</v>
      </c>
      <c r="G373" s="93"/>
    </row>
    <row r="374" spans="1:7" ht="18.75">
      <c r="A374" s="17"/>
      <c r="B374" s="13" t="s">
        <v>28</v>
      </c>
      <c r="C374" s="4" t="s">
        <v>20</v>
      </c>
      <c r="D374" s="9">
        <v>3.4225000000000003</v>
      </c>
      <c r="E374" s="25">
        <v>85000</v>
      </c>
      <c r="F374" s="25">
        <v>290912.5</v>
      </c>
      <c r="G374" s="95" t="s">
        <v>187</v>
      </c>
    </row>
    <row r="375" spans="1:7" ht="31.5">
      <c r="A375" s="17"/>
      <c r="B375" s="13" t="s">
        <v>120</v>
      </c>
      <c r="C375" s="4" t="s">
        <v>20</v>
      </c>
      <c r="D375" s="9">
        <v>21.5</v>
      </c>
      <c r="E375" s="25">
        <v>325000</v>
      </c>
      <c r="F375" s="25">
        <v>6987500</v>
      </c>
      <c r="G375" s="93"/>
    </row>
    <row r="376" spans="1:7" ht="18.75">
      <c r="A376" s="17"/>
      <c r="B376" s="13" t="s">
        <v>36</v>
      </c>
      <c r="C376" s="4" t="s">
        <v>20</v>
      </c>
      <c r="D376" s="9">
        <v>16.8</v>
      </c>
      <c r="E376" s="25">
        <v>125000</v>
      </c>
      <c r="F376" s="25">
        <v>2100000</v>
      </c>
      <c r="G376" s="93"/>
    </row>
    <row r="377" spans="1:7" ht="31.5">
      <c r="A377" s="17"/>
      <c r="B377" s="13" t="s">
        <v>47</v>
      </c>
      <c r="C377" s="4" t="s">
        <v>20</v>
      </c>
      <c r="D377" s="9">
        <v>12.32</v>
      </c>
      <c r="E377" s="24">
        <v>498000</v>
      </c>
      <c r="F377" s="25">
        <v>6135360</v>
      </c>
      <c r="G377" s="93"/>
    </row>
    <row r="378" spans="1:7" ht="31.5">
      <c r="A378" s="17"/>
      <c r="B378" s="13" t="s">
        <v>162</v>
      </c>
      <c r="C378" s="4" t="s">
        <v>20</v>
      </c>
      <c r="D378" s="9">
        <v>2.4</v>
      </c>
      <c r="E378" s="25">
        <v>410000</v>
      </c>
      <c r="F378" s="25">
        <v>984000</v>
      </c>
      <c r="G378" s="93"/>
    </row>
    <row r="379" spans="1:7" ht="31.5">
      <c r="A379" s="17"/>
      <c r="B379" s="13" t="s">
        <v>836</v>
      </c>
      <c r="C379" s="8" t="s">
        <v>210</v>
      </c>
      <c r="D379" s="9">
        <v>25</v>
      </c>
      <c r="E379" s="125">
        <v>13640</v>
      </c>
      <c r="F379" s="25">
        <v>341000</v>
      </c>
      <c r="G379" s="95" t="s">
        <v>903</v>
      </c>
    </row>
    <row r="380" spans="1:7" ht="126">
      <c r="A380" s="17"/>
      <c r="B380" s="11" t="s">
        <v>186</v>
      </c>
      <c r="C380" s="4" t="s">
        <v>20</v>
      </c>
      <c r="D380" s="10">
        <v>75.175</v>
      </c>
      <c r="E380" s="24">
        <v>3068500</v>
      </c>
      <c r="F380" s="25">
        <v>230674487.5</v>
      </c>
      <c r="G380" s="92" t="s">
        <v>184</v>
      </c>
    </row>
    <row r="381" spans="1:7" ht="78.75">
      <c r="A381" s="63"/>
      <c r="B381" s="12" t="s">
        <v>165</v>
      </c>
      <c r="C381" s="4" t="s">
        <v>20</v>
      </c>
      <c r="D381" s="9">
        <v>5.22</v>
      </c>
      <c r="E381" s="24">
        <v>3068500</v>
      </c>
      <c r="F381" s="25">
        <v>16017570</v>
      </c>
      <c r="G381" s="92" t="s">
        <v>184</v>
      </c>
    </row>
    <row r="382" spans="1:7" ht="18.75">
      <c r="A382" s="63"/>
      <c r="B382" s="13" t="s">
        <v>166</v>
      </c>
      <c r="C382" s="4" t="s">
        <v>20</v>
      </c>
      <c r="D382" s="9">
        <v>25.22</v>
      </c>
      <c r="E382" s="25">
        <v>230000</v>
      </c>
      <c r="F382" s="25">
        <v>5800600</v>
      </c>
      <c r="G382" s="93"/>
    </row>
    <row r="383" spans="1:7" ht="78.75">
      <c r="A383" s="17"/>
      <c r="B383" s="29" t="s">
        <v>167</v>
      </c>
      <c r="C383" s="4" t="s">
        <v>20</v>
      </c>
      <c r="D383" s="9">
        <v>5.22</v>
      </c>
      <c r="E383" s="25">
        <v>2610000</v>
      </c>
      <c r="F383" s="25">
        <v>13624200</v>
      </c>
      <c r="G383" s="95" t="s">
        <v>751</v>
      </c>
    </row>
    <row r="384" spans="1:7" ht="31.5">
      <c r="A384" s="17"/>
      <c r="B384" s="29" t="s">
        <v>207</v>
      </c>
      <c r="C384" s="36" t="s">
        <v>208</v>
      </c>
      <c r="D384" s="9">
        <v>12.899999999999999</v>
      </c>
      <c r="E384" s="25">
        <v>240000</v>
      </c>
      <c r="F384" s="25">
        <v>3095999.9999999995</v>
      </c>
      <c r="G384" s="95"/>
    </row>
    <row r="385" spans="1:7" ht="31.5">
      <c r="A385" s="17"/>
      <c r="B385" s="13" t="s">
        <v>47</v>
      </c>
      <c r="C385" s="4" t="s">
        <v>20</v>
      </c>
      <c r="D385" s="9">
        <v>34.2439</v>
      </c>
      <c r="E385" s="24">
        <v>498000</v>
      </c>
      <c r="F385" s="25">
        <v>17053462.2</v>
      </c>
      <c r="G385" s="93"/>
    </row>
    <row r="386" spans="1:7" ht="18.75">
      <c r="A386" s="17"/>
      <c r="B386" s="13" t="s">
        <v>36</v>
      </c>
      <c r="C386" s="4" t="s">
        <v>20</v>
      </c>
      <c r="D386" s="9">
        <v>72.132</v>
      </c>
      <c r="E386" s="25">
        <v>125000</v>
      </c>
      <c r="F386" s="25">
        <v>9016500</v>
      </c>
      <c r="G386" s="93"/>
    </row>
    <row r="387" spans="1:7" ht="18.75">
      <c r="A387" s="17"/>
      <c r="B387" s="13" t="s">
        <v>25</v>
      </c>
      <c r="C387" s="4" t="s">
        <v>32</v>
      </c>
      <c r="D387" s="9">
        <v>5.6645</v>
      </c>
      <c r="E387" s="25">
        <v>1250000</v>
      </c>
      <c r="F387" s="25">
        <v>7080625</v>
      </c>
      <c r="G387" s="93"/>
    </row>
    <row r="388" spans="1:7" ht="18.75">
      <c r="A388" s="62"/>
      <c r="B388" s="29" t="s">
        <v>113</v>
      </c>
      <c r="C388" s="37" t="s">
        <v>32</v>
      </c>
      <c r="D388" s="50">
        <v>0.4284</v>
      </c>
      <c r="E388" s="125">
        <v>1175000</v>
      </c>
      <c r="F388" s="125">
        <v>503370</v>
      </c>
      <c r="G388" s="97"/>
    </row>
    <row r="389" spans="1:7" ht="18.75">
      <c r="A389" s="17"/>
      <c r="B389" s="29" t="s">
        <v>168</v>
      </c>
      <c r="C389" s="4" t="s">
        <v>20</v>
      </c>
      <c r="D389" s="9">
        <v>0.84</v>
      </c>
      <c r="E389" s="25">
        <v>364000</v>
      </c>
      <c r="F389" s="25">
        <v>305760</v>
      </c>
      <c r="G389" s="93"/>
    </row>
    <row r="390" spans="1:7" ht="18.75">
      <c r="A390" s="17"/>
      <c r="B390" s="13" t="s">
        <v>26</v>
      </c>
      <c r="C390" s="4" t="s">
        <v>20</v>
      </c>
      <c r="D390" s="9">
        <v>64.205</v>
      </c>
      <c r="E390" s="24">
        <v>82000</v>
      </c>
      <c r="F390" s="25">
        <v>5264810</v>
      </c>
      <c r="G390" s="93"/>
    </row>
    <row r="391" spans="1:7" ht="18.75">
      <c r="A391" s="17"/>
      <c r="B391" s="13" t="s">
        <v>27</v>
      </c>
      <c r="C391" s="4" t="s">
        <v>32</v>
      </c>
      <c r="D391" s="9">
        <v>0.9600000000000002</v>
      </c>
      <c r="E391" s="25">
        <v>1854000</v>
      </c>
      <c r="F391" s="25">
        <v>1779840.0000000002</v>
      </c>
      <c r="G391" s="93"/>
    </row>
    <row r="392" spans="1:7" ht="18.75">
      <c r="A392" s="17"/>
      <c r="B392" s="13" t="s">
        <v>28</v>
      </c>
      <c r="C392" s="4" t="s">
        <v>20</v>
      </c>
      <c r="D392" s="9">
        <v>5.864999999999999</v>
      </c>
      <c r="E392" s="25">
        <v>85000</v>
      </c>
      <c r="F392" s="25">
        <v>498524.99999999994</v>
      </c>
      <c r="G392" s="95" t="s">
        <v>187</v>
      </c>
    </row>
    <row r="393" spans="1:7" ht="18.75">
      <c r="A393" s="17"/>
      <c r="B393" s="13" t="s">
        <v>41</v>
      </c>
      <c r="C393" s="4" t="s">
        <v>20</v>
      </c>
      <c r="D393" s="9">
        <v>1</v>
      </c>
      <c r="E393" s="25">
        <v>238000</v>
      </c>
      <c r="F393" s="25">
        <v>238000</v>
      </c>
      <c r="G393" s="93"/>
    </row>
    <row r="394" spans="1:7" ht="31.5">
      <c r="A394" s="17"/>
      <c r="B394" s="13" t="s">
        <v>872</v>
      </c>
      <c r="C394" s="8" t="s">
        <v>210</v>
      </c>
      <c r="D394" s="9">
        <v>10</v>
      </c>
      <c r="E394" s="125">
        <v>44770</v>
      </c>
      <c r="F394" s="25">
        <v>447700</v>
      </c>
      <c r="G394" s="95" t="s">
        <v>903</v>
      </c>
    </row>
    <row r="395" spans="1:7" ht="31.5">
      <c r="A395" s="17"/>
      <c r="B395" s="13" t="s">
        <v>873</v>
      </c>
      <c r="C395" s="8" t="s">
        <v>210</v>
      </c>
      <c r="D395" s="9">
        <v>40</v>
      </c>
      <c r="E395" s="125">
        <v>9680</v>
      </c>
      <c r="F395" s="25">
        <v>387200</v>
      </c>
      <c r="G395" s="95" t="s">
        <v>903</v>
      </c>
    </row>
    <row r="396" spans="1:7" ht="31.5">
      <c r="A396" s="17"/>
      <c r="B396" s="13" t="s">
        <v>876</v>
      </c>
      <c r="C396" s="8" t="s">
        <v>210</v>
      </c>
      <c r="D396" s="9">
        <v>40</v>
      </c>
      <c r="E396" s="130">
        <v>19140</v>
      </c>
      <c r="F396" s="25">
        <v>765600</v>
      </c>
      <c r="G396" s="95" t="s">
        <v>903</v>
      </c>
    </row>
    <row r="397" spans="1:7" ht="31.5">
      <c r="A397" s="17"/>
      <c r="B397" s="13" t="s">
        <v>878</v>
      </c>
      <c r="C397" s="4" t="s">
        <v>42</v>
      </c>
      <c r="D397" s="9">
        <v>1</v>
      </c>
      <c r="E397" s="25">
        <v>2068000</v>
      </c>
      <c r="F397" s="25">
        <v>2068000</v>
      </c>
      <c r="G397" s="93"/>
    </row>
    <row r="398" spans="1:7" ht="18.75">
      <c r="A398" s="17"/>
      <c r="B398" s="13" t="s">
        <v>170</v>
      </c>
      <c r="C398" s="4" t="s">
        <v>32</v>
      </c>
      <c r="D398" s="9">
        <v>0.07200000000000001</v>
      </c>
      <c r="E398" s="24">
        <v>1684000</v>
      </c>
      <c r="F398" s="25">
        <v>121248.00000000001</v>
      </c>
      <c r="G398" s="93"/>
    </row>
    <row r="399" spans="1:7" ht="126">
      <c r="A399" s="17"/>
      <c r="B399" s="11" t="s">
        <v>174</v>
      </c>
      <c r="C399" s="4" t="s">
        <v>20</v>
      </c>
      <c r="D399" s="10">
        <v>80.56</v>
      </c>
      <c r="E399" s="24">
        <v>4820000</v>
      </c>
      <c r="F399" s="25">
        <v>388299200</v>
      </c>
      <c r="G399" s="95" t="s">
        <v>175</v>
      </c>
    </row>
    <row r="400" spans="1:7" ht="31.5">
      <c r="A400" s="40"/>
      <c r="B400" s="13" t="s">
        <v>879</v>
      </c>
      <c r="C400" s="8" t="s">
        <v>210</v>
      </c>
      <c r="D400" s="7">
        <v>18</v>
      </c>
      <c r="E400" s="24">
        <v>106810</v>
      </c>
      <c r="F400" s="25">
        <v>1922580</v>
      </c>
      <c r="G400" s="95" t="s">
        <v>903</v>
      </c>
    </row>
    <row r="401" spans="1:7" ht="110.25">
      <c r="A401" s="11"/>
      <c r="B401" s="13" t="s">
        <v>310</v>
      </c>
      <c r="C401" s="4" t="s">
        <v>20</v>
      </c>
      <c r="D401" s="7">
        <v>68.42500000000001</v>
      </c>
      <c r="E401" s="25">
        <v>3230000</v>
      </c>
      <c r="F401" s="25">
        <v>221012750.00000003</v>
      </c>
      <c r="G401" s="90"/>
    </row>
    <row r="402" spans="1:7" ht="31.5">
      <c r="A402" s="40"/>
      <c r="B402" s="11" t="s">
        <v>213</v>
      </c>
      <c r="C402" s="4" t="s">
        <v>20</v>
      </c>
      <c r="D402" s="10">
        <v>13.685</v>
      </c>
      <c r="E402" s="24">
        <v>498000</v>
      </c>
      <c r="F402" s="25">
        <v>6815130</v>
      </c>
      <c r="G402" s="93"/>
    </row>
    <row r="403" spans="1:7" ht="31.5">
      <c r="A403" s="40"/>
      <c r="B403" s="12" t="s">
        <v>846</v>
      </c>
      <c r="C403" s="2" t="s">
        <v>210</v>
      </c>
      <c r="D403" s="9">
        <v>10</v>
      </c>
      <c r="E403" s="126"/>
      <c r="F403" s="25">
        <v>0</v>
      </c>
      <c r="G403" s="93"/>
    </row>
    <row r="404" spans="2:7" ht="31.5">
      <c r="B404" s="12" t="s">
        <v>873</v>
      </c>
      <c r="C404" s="8" t="s">
        <v>210</v>
      </c>
      <c r="D404" s="10">
        <v>14</v>
      </c>
      <c r="E404" s="125">
        <v>9680</v>
      </c>
      <c r="F404" s="25">
        <v>135520</v>
      </c>
      <c r="G404" s="95" t="s">
        <v>903</v>
      </c>
    </row>
    <row r="405" spans="1:7" ht="31.5">
      <c r="A405" s="11"/>
      <c r="B405" s="12" t="s">
        <v>872</v>
      </c>
      <c r="C405" s="8" t="s">
        <v>210</v>
      </c>
      <c r="D405" s="10">
        <v>28</v>
      </c>
      <c r="E405" s="125">
        <v>44770</v>
      </c>
      <c r="F405" s="25">
        <v>1253560</v>
      </c>
      <c r="G405" s="95" t="s">
        <v>903</v>
      </c>
    </row>
    <row r="406" spans="1:7" ht="31.5">
      <c r="A406" s="19"/>
      <c r="B406" s="39" t="s">
        <v>880</v>
      </c>
      <c r="C406" s="4" t="s">
        <v>32</v>
      </c>
      <c r="D406" s="15">
        <v>1.57</v>
      </c>
      <c r="E406" s="24">
        <v>1684000</v>
      </c>
      <c r="F406" s="25">
        <v>2643880</v>
      </c>
      <c r="G406" s="100"/>
    </row>
    <row r="407" spans="1:7" ht="31.5">
      <c r="A407" s="16"/>
      <c r="B407" s="33" t="s">
        <v>216</v>
      </c>
      <c r="C407" s="4" t="s">
        <v>20</v>
      </c>
      <c r="D407" s="9">
        <v>25.599999999999994</v>
      </c>
      <c r="E407" s="24">
        <v>736000</v>
      </c>
      <c r="F407" s="25">
        <v>18841599.999999996</v>
      </c>
      <c r="G407" s="93"/>
    </row>
    <row r="408" spans="1:7" ht="78.75">
      <c r="A408" s="16"/>
      <c r="B408" s="48" t="s">
        <v>217</v>
      </c>
      <c r="C408" s="4" t="s">
        <v>20</v>
      </c>
      <c r="D408" s="9">
        <v>12.1632</v>
      </c>
      <c r="E408" s="25">
        <v>2810100</v>
      </c>
      <c r="F408" s="25">
        <v>34179808.32</v>
      </c>
      <c r="G408" s="92" t="s">
        <v>481</v>
      </c>
    </row>
    <row r="409" spans="1:7" ht="31.5">
      <c r="A409" s="16"/>
      <c r="B409" s="13" t="s">
        <v>47</v>
      </c>
      <c r="C409" s="4" t="s">
        <v>20</v>
      </c>
      <c r="D409" s="9">
        <v>7.800000000000001</v>
      </c>
      <c r="E409" s="24">
        <v>498000</v>
      </c>
      <c r="F409" s="25">
        <v>3884400.0000000005</v>
      </c>
      <c r="G409" s="93"/>
    </row>
    <row r="410" spans="1:7" ht="31.5">
      <c r="A410" s="17"/>
      <c r="B410" s="13" t="s">
        <v>881</v>
      </c>
      <c r="C410" s="2" t="s">
        <v>42</v>
      </c>
      <c r="D410" s="9">
        <v>1</v>
      </c>
      <c r="E410" s="25">
        <v>193000</v>
      </c>
      <c r="F410" s="25">
        <v>193000</v>
      </c>
      <c r="G410" s="94" t="s">
        <v>187</v>
      </c>
    </row>
    <row r="411" spans="1:7" ht="78.75">
      <c r="A411" s="75"/>
      <c r="B411" s="29" t="s">
        <v>305</v>
      </c>
      <c r="C411" s="4" t="s">
        <v>20</v>
      </c>
      <c r="D411" s="7">
        <v>25.116</v>
      </c>
      <c r="E411" s="25">
        <v>3100800</v>
      </c>
      <c r="F411" s="25">
        <v>77879692.8</v>
      </c>
      <c r="G411" s="104" t="s">
        <v>308</v>
      </c>
    </row>
    <row r="412" spans="1:7" ht="18.75">
      <c r="A412" s="75"/>
      <c r="B412" s="11" t="s">
        <v>166</v>
      </c>
      <c r="C412" s="4" t="s">
        <v>20</v>
      </c>
      <c r="D412" s="10">
        <v>12.42</v>
      </c>
      <c r="E412" s="25">
        <v>230000</v>
      </c>
      <c r="F412" s="25">
        <v>2856600</v>
      </c>
      <c r="G412" s="93"/>
    </row>
    <row r="413" spans="1:7" ht="31.5">
      <c r="A413" s="75"/>
      <c r="B413" s="12" t="s">
        <v>219</v>
      </c>
      <c r="C413" s="4" t="s">
        <v>20</v>
      </c>
      <c r="D413" s="9">
        <v>17.46</v>
      </c>
      <c r="E413" s="25">
        <v>150000</v>
      </c>
      <c r="F413" s="25">
        <v>2619000</v>
      </c>
      <c r="G413" s="93"/>
    </row>
    <row r="414" spans="1:7" ht="94.5">
      <c r="A414" s="11"/>
      <c r="B414" s="29" t="s">
        <v>221</v>
      </c>
      <c r="C414" s="2" t="s">
        <v>20</v>
      </c>
      <c r="D414" s="7">
        <v>39.6</v>
      </c>
      <c r="E414" s="25">
        <v>2950800</v>
      </c>
      <c r="F414" s="25">
        <v>116851680</v>
      </c>
      <c r="G414" s="95" t="s">
        <v>765</v>
      </c>
    </row>
    <row r="415" spans="1:7" ht="18.75">
      <c r="A415" s="17"/>
      <c r="B415" s="26" t="s">
        <v>222</v>
      </c>
      <c r="C415" s="4" t="s">
        <v>20</v>
      </c>
      <c r="D415" s="10">
        <v>27.4</v>
      </c>
      <c r="E415" s="131">
        <v>85000</v>
      </c>
      <c r="F415" s="25">
        <v>2329000</v>
      </c>
      <c r="G415" s="93" t="s">
        <v>187</v>
      </c>
    </row>
    <row r="416" spans="1:7" ht="31.5">
      <c r="A416" s="17"/>
      <c r="B416" s="13" t="s">
        <v>40</v>
      </c>
      <c r="C416" s="4" t="s">
        <v>20</v>
      </c>
      <c r="D416" s="9">
        <v>3.2</v>
      </c>
      <c r="E416" s="24">
        <v>498000</v>
      </c>
      <c r="F416" s="25">
        <v>1593600</v>
      </c>
      <c r="G416" s="93"/>
    </row>
    <row r="417" spans="1:7" ht="47.25">
      <c r="A417" s="72"/>
      <c r="B417" s="13" t="s">
        <v>499</v>
      </c>
      <c r="C417" s="4" t="s">
        <v>20</v>
      </c>
      <c r="D417" s="9">
        <v>16.4</v>
      </c>
      <c r="E417" s="24">
        <v>498000</v>
      </c>
      <c r="F417" s="25">
        <v>8167199.999999999</v>
      </c>
      <c r="G417" s="93"/>
    </row>
    <row r="418" spans="1:7" ht="31.5">
      <c r="A418" s="11"/>
      <c r="B418" s="13" t="s">
        <v>882</v>
      </c>
      <c r="C418" s="8" t="s">
        <v>210</v>
      </c>
      <c r="D418" s="10">
        <v>10</v>
      </c>
      <c r="E418" s="125">
        <v>13640</v>
      </c>
      <c r="F418" s="25">
        <v>136400</v>
      </c>
      <c r="G418" s="95" t="s">
        <v>903</v>
      </c>
    </row>
    <row r="419" spans="1:7" ht="47.25">
      <c r="A419" s="40"/>
      <c r="B419" s="11" t="s">
        <v>225</v>
      </c>
      <c r="C419" s="4" t="s">
        <v>20</v>
      </c>
      <c r="D419" s="10">
        <v>43.31999999999999</v>
      </c>
      <c r="E419" s="24">
        <v>3230000</v>
      </c>
      <c r="F419" s="25">
        <v>139923599.99999997</v>
      </c>
      <c r="G419" s="93"/>
    </row>
    <row r="420" spans="1:7" ht="63">
      <c r="A420" s="40"/>
      <c r="B420" s="48" t="s">
        <v>504</v>
      </c>
      <c r="C420" s="4" t="s">
        <v>20</v>
      </c>
      <c r="D420" s="9">
        <v>11.36</v>
      </c>
      <c r="E420" s="25">
        <v>2610000</v>
      </c>
      <c r="F420" s="25">
        <v>29649600</v>
      </c>
      <c r="G420" s="95" t="s">
        <v>751</v>
      </c>
    </row>
    <row r="421" spans="1:7" ht="31.5">
      <c r="A421" s="40"/>
      <c r="B421" s="29" t="s">
        <v>207</v>
      </c>
      <c r="C421" s="36" t="s">
        <v>208</v>
      </c>
      <c r="D421" s="9">
        <v>19.32</v>
      </c>
      <c r="E421" s="25">
        <v>240000</v>
      </c>
      <c r="F421" s="25">
        <v>4636800</v>
      </c>
      <c r="G421" s="95"/>
    </row>
    <row r="422" spans="2:7" ht="18.75">
      <c r="B422" s="13" t="s">
        <v>166</v>
      </c>
      <c r="C422" s="4" t="s">
        <v>20</v>
      </c>
      <c r="D422" s="9">
        <v>17.472</v>
      </c>
      <c r="E422" s="25">
        <v>230000</v>
      </c>
      <c r="F422" s="25">
        <v>4018560.0000000005</v>
      </c>
      <c r="G422" s="93"/>
    </row>
    <row r="423" spans="1:7" ht="31.5">
      <c r="A423" s="11"/>
      <c r="B423" s="13" t="s">
        <v>47</v>
      </c>
      <c r="C423" s="4" t="s">
        <v>20</v>
      </c>
      <c r="D423" s="10">
        <v>5.4719999999999995</v>
      </c>
      <c r="E423" s="24">
        <v>498000</v>
      </c>
      <c r="F423" s="25">
        <v>2725055.9999999995</v>
      </c>
      <c r="G423" s="93"/>
    </row>
    <row r="424" spans="1:7" ht="18.75">
      <c r="A424" s="40"/>
      <c r="B424" s="26" t="s">
        <v>227</v>
      </c>
      <c r="C424" s="4" t="s">
        <v>20</v>
      </c>
      <c r="D424" s="10">
        <v>10.98</v>
      </c>
      <c r="E424" s="131">
        <v>110000</v>
      </c>
      <c r="F424" s="25">
        <v>1207800</v>
      </c>
      <c r="G424" s="93"/>
    </row>
    <row r="425" spans="1:7" ht="31.5">
      <c r="A425" s="17"/>
      <c r="B425" s="11" t="s">
        <v>229</v>
      </c>
      <c r="C425" s="4" t="s">
        <v>20</v>
      </c>
      <c r="D425" s="10">
        <v>14.3</v>
      </c>
      <c r="E425" s="24">
        <v>821000</v>
      </c>
      <c r="F425" s="25">
        <v>11740300</v>
      </c>
      <c r="G425" s="93"/>
    </row>
    <row r="426" spans="1:7" ht="18.75">
      <c r="A426" s="11"/>
      <c r="B426" s="12" t="s">
        <v>166</v>
      </c>
      <c r="C426" s="4" t="s">
        <v>20</v>
      </c>
      <c r="D426" s="9">
        <v>14.3</v>
      </c>
      <c r="E426" s="25">
        <v>230000</v>
      </c>
      <c r="F426" s="25">
        <v>3289000</v>
      </c>
      <c r="G426" s="93"/>
    </row>
    <row r="427" spans="1:7" ht="31.5">
      <c r="A427" s="17"/>
      <c r="B427" s="13" t="s">
        <v>230</v>
      </c>
      <c r="C427" s="4" t="s">
        <v>20</v>
      </c>
      <c r="D427" s="9">
        <v>3.575</v>
      </c>
      <c r="E427" s="25">
        <v>150000</v>
      </c>
      <c r="F427" s="25">
        <v>536250</v>
      </c>
      <c r="G427" s="93"/>
    </row>
    <row r="428" spans="1:7" ht="47.25">
      <c r="A428" s="17"/>
      <c r="B428" s="11" t="s">
        <v>231</v>
      </c>
      <c r="C428" s="4" t="s">
        <v>20</v>
      </c>
      <c r="D428" s="10">
        <v>50.96000000000001</v>
      </c>
      <c r="E428" s="24">
        <v>821000</v>
      </c>
      <c r="F428" s="25">
        <v>41838160.00000001</v>
      </c>
      <c r="G428" s="93"/>
    </row>
    <row r="429" spans="1:7" ht="31.5">
      <c r="A429" s="11"/>
      <c r="B429" s="12" t="s">
        <v>230</v>
      </c>
      <c r="C429" s="4" t="s">
        <v>20</v>
      </c>
      <c r="D429" s="9">
        <v>4.41</v>
      </c>
      <c r="E429" s="25">
        <v>150000</v>
      </c>
      <c r="F429" s="25">
        <v>661500</v>
      </c>
      <c r="G429" s="93"/>
    </row>
    <row r="430" spans="1:7" ht="47.25">
      <c r="A430" s="17"/>
      <c r="B430" s="11" t="s">
        <v>234</v>
      </c>
      <c r="C430" s="4" t="s">
        <v>20</v>
      </c>
      <c r="D430" s="10">
        <v>45.736599999999996</v>
      </c>
      <c r="E430" s="24">
        <v>821000</v>
      </c>
      <c r="F430" s="25">
        <v>37549748.599999994</v>
      </c>
      <c r="G430" s="93"/>
    </row>
    <row r="431" spans="1:7" ht="78.75">
      <c r="A431" s="11"/>
      <c r="B431" s="48" t="s">
        <v>235</v>
      </c>
      <c r="C431" s="4" t="s">
        <v>20</v>
      </c>
      <c r="D431" s="9">
        <v>3.612</v>
      </c>
      <c r="E431" s="25">
        <v>2610000</v>
      </c>
      <c r="F431" s="25">
        <v>9427320</v>
      </c>
      <c r="G431" s="95" t="s">
        <v>751</v>
      </c>
    </row>
    <row r="432" spans="1:7" ht="31.5">
      <c r="A432" s="17"/>
      <c r="B432" s="29" t="s">
        <v>207</v>
      </c>
      <c r="C432" s="36" t="s">
        <v>208</v>
      </c>
      <c r="D432" s="9">
        <v>10.26</v>
      </c>
      <c r="E432" s="25">
        <v>240000</v>
      </c>
      <c r="F432" s="25">
        <v>2462400</v>
      </c>
      <c r="G432" s="95"/>
    </row>
    <row r="433" spans="1:7" ht="47.25">
      <c r="A433" s="17"/>
      <c r="B433" s="13" t="s">
        <v>237</v>
      </c>
      <c r="C433" s="4" t="s">
        <v>20</v>
      </c>
      <c r="D433" s="9">
        <v>32.9316</v>
      </c>
      <c r="E433" s="24">
        <v>821000</v>
      </c>
      <c r="F433" s="25">
        <v>27036843.6</v>
      </c>
      <c r="G433" s="93"/>
    </row>
    <row r="434" spans="1:7" ht="78.75">
      <c r="A434" s="17"/>
      <c r="B434" s="13" t="s">
        <v>238</v>
      </c>
      <c r="C434" s="4" t="s">
        <v>20</v>
      </c>
      <c r="D434" s="9">
        <v>11.246199999999998</v>
      </c>
      <c r="E434" s="24">
        <v>2810100</v>
      </c>
      <c r="F434" s="25">
        <v>31602946.619999994</v>
      </c>
      <c r="G434" s="92" t="s">
        <v>307</v>
      </c>
    </row>
    <row r="435" spans="1:7" ht="31.5">
      <c r="A435" s="17"/>
      <c r="B435" s="13" t="s">
        <v>500</v>
      </c>
      <c r="C435" s="4" t="s">
        <v>20</v>
      </c>
      <c r="D435" s="9">
        <v>3.8398</v>
      </c>
      <c r="E435" s="25">
        <v>150000</v>
      </c>
      <c r="F435" s="25">
        <v>575970</v>
      </c>
      <c r="G435" s="93"/>
    </row>
    <row r="436" spans="1:7" ht="47.25">
      <c r="A436" s="17"/>
      <c r="B436" s="29" t="s">
        <v>239</v>
      </c>
      <c r="C436" s="4" t="s">
        <v>20</v>
      </c>
      <c r="D436" s="9">
        <v>3.3434</v>
      </c>
      <c r="E436" s="25">
        <v>2450000</v>
      </c>
      <c r="F436" s="25">
        <v>8191330</v>
      </c>
      <c r="G436" s="93"/>
    </row>
    <row r="437" spans="1:7" ht="18.75">
      <c r="A437" s="17"/>
      <c r="B437" s="13" t="s">
        <v>140</v>
      </c>
      <c r="C437" s="4" t="s">
        <v>32</v>
      </c>
      <c r="D437" s="9">
        <v>0.5424</v>
      </c>
      <c r="E437" s="24">
        <v>1670000</v>
      </c>
      <c r="F437" s="25">
        <v>905808</v>
      </c>
      <c r="G437" s="93"/>
    </row>
    <row r="438" spans="1:7" ht="31.5">
      <c r="A438" s="17"/>
      <c r="B438" s="13" t="s">
        <v>53</v>
      </c>
      <c r="C438" s="4" t="s">
        <v>20</v>
      </c>
      <c r="D438" s="9">
        <v>21.084</v>
      </c>
      <c r="E438" s="25">
        <v>150000</v>
      </c>
      <c r="F438" s="25">
        <v>3162600</v>
      </c>
      <c r="G438" s="93"/>
    </row>
    <row r="439" spans="1:7" ht="47.25">
      <c r="A439" s="17"/>
      <c r="B439" s="28" t="s">
        <v>240</v>
      </c>
      <c r="C439" s="4" t="s">
        <v>20</v>
      </c>
      <c r="D439" s="9">
        <v>1.2000000000000002</v>
      </c>
      <c r="E439" s="129">
        <v>410000</v>
      </c>
      <c r="F439" s="25">
        <v>492000.00000000006</v>
      </c>
      <c r="G439" s="93"/>
    </row>
    <row r="440" spans="1:7" ht="31.5">
      <c r="A440" s="17"/>
      <c r="B440" s="13" t="s">
        <v>873</v>
      </c>
      <c r="C440" s="8" t="s">
        <v>210</v>
      </c>
      <c r="D440" s="9">
        <v>30</v>
      </c>
      <c r="E440" s="125">
        <v>9680</v>
      </c>
      <c r="F440" s="25">
        <v>290400</v>
      </c>
      <c r="G440" s="95" t="s">
        <v>903</v>
      </c>
    </row>
    <row r="441" spans="1:7" ht="31.5">
      <c r="A441" s="17"/>
      <c r="B441" s="13" t="s">
        <v>836</v>
      </c>
      <c r="C441" s="8" t="s">
        <v>210</v>
      </c>
      <c r="D441" s="9">
        <v>30</v>
      </c>
      <c r="E441" s="125">
        <v>13640</v>
      </c>
      <c r="F441" s="25">
        <v>409200</v>
      </c>
      <c r="G441" s="95" t="s">
        <v>903</v>
      </c>
    </row>
    <row r="442" spans="1:7" ht="31.5">
      <c r="A442" s="17"/>
      <c r="B442" s="13" t="s">
        <v>846</v>
      </c>
      <c r="C442" s="2" t="s">
        <v>210</v>
      </c>
      <c r="D442" s="9">
        <v>80</v>
      </c>
      <c r="E442" s="126"/>
      <c r="F442" s="25">
        <v>0</v>
      </c>
      <c r="G442" s="93"/>
    </row>
    <row r="443" spans="1:7" ht="94.5">
      <c r="A443" s="17"/>
      <c r="B443" s="11" t="s">
        <v>241</v>
      </c>
      <c r="C443" s="4" t="s">
        <v>20</v>
      </c>
      <c r="D443" s="10">
        <v>52.415</v>
      </c>
      <c r="E443" s="25">
        <v>3230000</v>
      </c>
      <c r="F443" s="25">
        <v>169300450</v>
      </c>
      <c r="G443" s="90"/>
    </row>
    <row r="444" spans="1:7" ht="18.75">
      <c r="A444" s="11"/>
      <c r="B444" s="13" t="s">
        <v>242</v>
      </c>
      <c r="C444" s="4" t="s">
        <v>20</v>
      </c>
      <c r="D444" s="7">
        <v>30.015</v>
      </c>
      <c r="E444" s="25">
        <v>230000</v>
      </c>
      <c r="F444" s="25">
        <v>6903450</v>
      </c>
      <c r="G444" s="90"/>
    </row>
    <row r="445" spans="1:7" ht="31.5">
      <c r="A445" s="17"/>
      <c r="B445" s="13" t="s">
        <v>244</v>
      </c>
      <c r="C445" s="4" t="s">
        <v>20</v>
      </c>
      <c r="D445" s="9">
        <v>34.775</v>
      </c>
      <c r="E445" s="24">
        <v>821000</v>
      </c>
      <c r="F445" s="25">
        <v>28550275</v>
      </c>
      <c r="G445" s="90"/>
    </row>
    <row r="446" spans="1:7" ht="47.25">
      <c r="A446" s="17"/>
      <c r="B446" s="13" t="s">
        <v>245</v>
      </c>
      <c r="C446" s="4" t="s">
        <v>20</v>
      </c>
      <c r="D446" s="9">
        <v>11.780000000000001</v>
      </c>
      <c r="E446" s="24">
        <v>498000</v>
      </c>
      <c r="F446" s="25">
        <v>5866440.000000001</v>
      </c>
      <c r="G446" s="90"/>
    </row>
    <row r="447" spans="1:7" ht="31.5">
      <c r="A447" s="17"/>
      <c r="B447" s="13" t="s">
        <v>849</v>
      </c>
      <c r="C447" s="4" t="s">
        <v>210</v>
      </c>
      <c r="D447" s="9">
        <v>10</v>
      </c>
      <c r="E447" s="126"/>
      <c r="F447" s="25">
        <v>0</v>
      </c>
      <c r="G447" s="90"/>
    </row>
    <row r="448" spans="1:7" ht="18.75">
      <c r="A448" s="17"/>
      <c r="B448" s="13" t="s">
        <v>169</v>
      </c>
      <c r="C448" s="4" t="s">
        <v>32</v>
      </c>
      <c r="D448" s="9">
        <v>0.4</v>
      </c>
      <c r="E448" s="24">
        <v>1684000</v>
      </c>
      <c r="F448" s="25">
        <v>673600</v>
      </c>
      <c r="G448" s="90"/>
    </row>
    <row r="449" spans="1:7" ht="31.5">
      <c r="A449" s="17"/>
      <c r="B449" s="13" t="s">
        <v>55</v>
      </c>
      <c r="C449" s="4" t="s">
        <v>20</v>
      </c>
      <c r="D449" s="7">
        <v>152.81200000000004</v>
      </c>
      <c r="E449" s="25">
        <v>325000</v>
      </c>
      <c r="F449" s="25">
        <v>49663900.000000015</v>
      </c>
      <c r="G449" s="90"/>
    </row>
    <row r="450" spans="1:7" ht="31.5">
      <c r="A450" s="40"/>
      <c r="B450" s="11" t="s">
        <v>271</v>
      </c>
      <c r="C450" s="4" t="s">
        <v>20</v>
      </c>
      <c r="D450" s="10">
        <v>18.018</v>
      </c>
      <c r="E450" s="24">
        <v>110000</v>
      </c>
      <c r="F450" s="25">
        <v>1981980</v>
      </c>
      <c r="G450" s="93"/>
    </row>
    <row r="451" spans="1:7" ht="31.5">
      <c r="A451" s="11"/>
      <c r="B451" s="11" t="s">
        <v>246</v>
      </c>
      <c r="C451" s="4" t="s">
        <v>20</v>
      </c>
      <c r="D451" s="10">
        <v>29.400000000000002</v>
      </c>
      <c r="E451" s="24">
        <v>821000</v>
      </c>
      <c r="F451" s="25">
        <v>24137400</v>
      </c>
      <c r="G451" s="93"/>
    </row>
    <row r="452" spans="1:7" ht="63">
      <c r="A452" s="17"/>
      <c r="B452" s="11" t="s">
        <v>249</v>
      </c>
      <c r="C452" s="4" t="s">
        <v>20</v>
      </c>
      <c r="D452" s="10">
        <v>94.215</v>
      </c>
      <c r="E452" s="24">
        <v>3230000</v>
      </c>
      <c r="F452" s="25">
        <v>304314450</v>
      </c>
      <c r="G452" s="93"/>
    </row>
    <row r="453" spans="1:7" ht="31.5">
      <c r="A453" s="11"/>
      <c r="B453" s="12" t="s">
        <v>315</v>
      </c>
      <c r="C453" s="4" t="s">
        <v>20</v>
      </c>
      <c r="D453" s="9">
        <v>12</v>
      </c>
      <c r="E453" s="24">
        <v>821000</v>
      </c>
      <c r="F453" s="25">
        <v>9852000</v>
      </c>
      <c r="G453" s="93"/>
    </row>
    <row r="454" spans="1:7" ht="31.5">
      <c r="A454" s="17"/>
      <c r="B454" s="13" t="s">
        <v>579</v>
      </c>
      <c r="C454" s="4" t="s">
        <v>20</v>
      </c>
      <c r="D454" s="9">
        <v>22.92</v>
      </c>
      <c r="E454" s="25">
        <v>150000</v>
      </c>
      <c r="F454" s="25">
        <v>3438000.0000000005</v>
      </c>
      <c r="G454" s="93"/>
    </row>
    <row r="455" spans="1:7" ht="31.5">
      <c r="A455" s="17"/>
      <c r="B455" s="13" t="s">
        <v>251</v>
      </c>
      <c r="C455" s="4" t="s">
        <v>20</v>
      </c>
      <c r="D455" s="9">
        <v>15.959999999999999</v>
      </c>
      <c r="E455" s="24">
        <v>821000</v>
      </c>
      <c r="F455" s="25">
        <v>13103160</v>
      </c>
      <c r="G455" s="93"/>
    </row>
    <row r="456" spans="1:7" ht="31.5">
      <c r="A456" s="17"/>
      <c r="B456" s="13" t="s">
        <v>252</v>
      </c>
      <c r="C456" s="4" t="s">
        <v>20</v>
      </c>
      <c r="D456" s="9">
        <v>16.9</v>
      </c>
      <c r="E456" s="24">
        <v>821000</v>
      </c>
      <c r="F456" s="25">
        <v>13874899.999999998</v>
      </c>
      <c r="G456" s="93"/>
    </row>
    <row r="457" spans="1:7" ht="31.5">
      <c r="A457" s="17"/>
      <c r="B457" s="13" t="s">
        <v>882</v>
      </c>
      <c r="C457" s="8" t="s">
        <v>210</v>
      </c>
      <c r="D457" s="9">
        <v>50</v>
      </c>
      <c r="E457" s="125">
        <v>13640</v>
      </c>
      <c r="F457" s="25">
        <v>682000</v>
      </c>
      <c r="G457" s="95" t="s">
        <v>903</v>
      </c>
    </row>
    <row r="458" spans="1:7" ht="31.5">
      <c r="A458" s="62"/>
      <c r="B458" s="29" t="s">
        <v>850</v>
      </c>
      <c r="C458" s="64" t="s">
        <v>42</v>
      </c>
      <c r="D458" s="50">
        <v>6</v>
      </c>
      <c r="E458" s="125">
        <v>193000</v>
      </c>
      <c r="F458" s="125">
        <v>1158000</v>
      </c>
      <c r="G458" s="105" t="s">
        <v>187</v>
      </c>
    </row>
    <row r="459" spans="1:7" ht="18.75">
      <c r="A459" s="17"/>
      <c r="B459" s="13" t="s">
        <v>36</v>
      </c>
      <c r="C459" s="4" t="s">
        <v>20</v>
      </c>
      <c r="D459" s="9">
        <v>35</v>
      </c>
      <c r="E459" s="25">
        <v>125000</v>
      </c>
      <c r="F459" s="25">
        <v>4375000</v>
      </c>
      <c r="G459" s="93"/>
    </row>
    <row r="460" spans="1:7" ht="18.75">
      <c r="A460" s="17"/>
      <c r="B460" s="13" t="s">
        <v>25</v>
      </c>
      <c r="C460" s="4" t="s">
        <v>32</v>
      </c>
      <c r="D460" s="9">
        <v>1.1</v>
      </c>
      <c r="E460" s="25">
        <v>1250000</v>
      </c>
      <c r="F460" s="25">
        <v>1375000</v>
      </c>
      <c r="G460" s="93"/>
    </row>
    <row r="461" spans="1:7" ht="18.75">
      <c r="A461" s="17"/>
      <c r="B461" s="13" t="s">
        <v>289</v>
      </c>
      <c r="C461" s="4" t="s">
        <v>20</v>
      </c>
      <c r="D461" s="9">
        <v>4.800000000000001</v>
      </c>
      <c r="E461" s="25">
        <v>57000</v>
      </c>
      <c r="F461" s="25">
        <v>273600.00000000006</v>
      </c>
      <c r="G461" s="95" t="s">
        <v>187</v>
      </c>
    </row>
    <row r="462" spans="1:7" ht="94.5">
      <c r="A462" s="11"/>
      <c r="B462" s="13" t="s">
        <v>255</v>
      </c>
      <c r="C462" s="4" t="s">
        <v>20</v>
      </c>
      <c r="D462" s="7">
        <v>31</v>
      </c>
      <c r="E462" s="25">
        <v>3068500</v>
      </c>
      <c r="F462" s="25">
        <v>95123500</v>
      </c>
      <c r="G462" s="95" t="s">
        <v>184</v>
      </c>
    </row>
    <row r="463" spans="1:7" ht="31.5">
      <c r="A463" s="17"/>
      <c r="B463" s="11" t="s">
        <v>570</v>
      </c>
      <c r="C463" s="4" t="s">
        <v>20</v>
      </c>
      <c r="D463" s="10">
        <v>23.4</v>
      </c>
      <c r="E463" s="24">
        <v>498000</v>
      </c>
      <c r="F463" s="25">
        <v>11653200</v>
      </c>
      <c r="G463" s="93"/>
    </row>
    <row r="464" spans="1:7" ht="31.5">
      <c r="A464" s="40"/>
      <c r="B464" s="12" t="s">
        <v>257</v>
      </c>
      <c r="C464" s="4" t="s">
        <v>20</v>
      </c>
      <c r="D464" s="9">
        <v>13.68</v>
      </c>
      <c r="E464" s="25">
        <v>150000</v>
      </c>
      <c r="F464" s="25">
        <v>2052000</v>
      </c>
      <c r="G464" s="93"/>
    </row>
    <row r="465" spans="1:7" ht="47.25">
      <c r="A465" s="40"/>
      <c r="B465" s="13" t="s">
        <v>259</v>
      </c>
      <c r="C465" s="4" t="s">
        <v>20</v>
      </c>
      <c r="D465" s="9">
        <v>28.830000000000002</v>
      </c>
      <c r="E465" s="24">
        <v>821000</v>
      </c>
      <c r="F465" s="25">
        <v>23669430</v>
      </c>
      <c r="G465" s="93"/>
    </row>
    <row r="466" spans="1:7" ht="31.5">
      <c r="A466" s="17"/>
      <c r="B466" s="13" t="s">
        <v>260</v>
      </c>
      <c r="C466" s="4" t="s">
        <v>20</v>
      </c>
      <c r="D466" s="9">
        <v>104.58</v>
      </c>
      <c r="E466" s="24">
        <v>498000</v>
      </c>
      <c r="F466" s="25">
        <v>52080840</v>
      </c>
      <c r="G466" s="93"/>
    </row>
    <row r="467" spans="1:7" ht="47.25">
      <c r="A467" s="17"/>
      <c r="B467" s="13" t="s">
        <v>261</v>
      </c>
      <c r="C467" s="4" t="s">
        <v>20</v>
      </c>
      <c r="D467" s="9">
        <v>22.5</v>
      </c>
      <c r="E467" s="25">
        <v>410000</v>
      </c>
      <c r="F467" s="25">
        <v>9225000</v>
      </c>
      <c r="G467" s="93"/>
    </row>
    <row r="468" spans="1:7" ht="78.75">
      <c r="A468" s="17"/>
      <c r="B468" s="13" t="s">
        <v>262</v>
      </c>
      <c r="C468" s="4" t="s">
        <v>20</v>
      </c>
      <c r="D468" s="9">
        <v>4.3</v>
      </c>
      <c r="E468" s="25">
        <v>2450000</v>
      </c>
      <c r="F468" s="25">
        <v>10535000</v>
      </c>
      <c r="G468" s="93"/>
    </row>
    <row r="469" spans="1:7" ht="18.75">
      <c r="A469" s="17"/>
      <c r="B469" s="13" t="s">
        <v>36</v>
      </c>
      <c r="C469" s="4" t="s">
        <v>20</v>
      </c>
      <c r="D469" s="9">
        <v>14</v>
      </c>
      <c r="E469" s="25">
        <v>125000</v>
      </c>
      <c r="F469" s="25">
        <v>1750000</v>
      </c>
      <c r="G469" s="93"/>
    </row>
    <row r="470" spans="1:7" ht="31.5">
      <c r="A470" s="17"/>
      <c r="B470" s="13" t="s">
        <v>311</v>
      </c>
      <c r="C470" s="4" t="s">
        <v>20</v>
      </c>
      <c r="D470" s="9">
        <v>9.72</v>
      </c>
      <c r="E470" s="25">
        <v>110000</v>
      </c>
      <c r="F470" s="25">
        <v>1069200</v>
      </c>
      <c r="G470" s="93"/>
    </row>
    <row r="471" spans="1:7" ht="18.75">
      <c r="A471" s="17"/>
      <c r="B471" s="13" t="s">
        <v>263</v>
      </c>
      <c r="C471" s="4" t="s">
        <v>20</v>
      </c>
      <c r="D471" s="9">
        <v>2.2</v>
      </c>
      <c r="E471" s="25">
        <v>125000</v>
      </c>
      <c r="F471" s="25">
        <v>275000</v>
      </c>
      <c r="G471" s="93"/>
    </row>
    <row r="472" spans="1:7" ht="18.75">
      <c r="A472" s="17"/>
      <c r="B472" s="13" t="s">
        <v>264</v>
      </c>
      <c r="C472" s="4" t="s">
        <v>32</v>
      </c>
      <c r="D472" s="9">
        <v>4.5</v>
      </c>
      <c r="E472" s="129">
        <v>1684000</v>
      </c>
      <c r="F472" s="25">
        <v>7578000</v>
      </c>
      <c r="G472" s="93"/>
    </row>
    <row r="473" spans="1:7" ht="18.75">
      <c r="A473" s="17"/>
      <c r="B473" s="13" t="s">
        <v>25</v>
      </c>
      <c r="C473" s="4" t="s">
        <v>32</v>
      </c>
      <c r="D473" s="9">
        <v>0.34500000000000003</v>
      </c>
      <c r="E473" s="25">
        <v>1250000</v>
      </c>
      <c r="F473" s="25">
        <v>431250.00000000006</v>
      </c>
      <c r="G473" s="93"/>
    </row>
    <row r="474" spans="1:7" ht="18.75">
      <c r="A474" s="17"/>
      <c r="B474" s="13" t="s">
        <v>26</v>
      </c>
      <c r="C474" s="4" t="s">
        <v>20</v>
      </c>
      <c r="D474" s="9">
        <v>2.4000000000000004</v>
      </c>
      <c r="E474" s="24">
        <v>82000</v>
      </c>
      <c r="F474" s="25">
        <v>196800.00000000003</v>
      </c>
      <c r="G474" s="93"/>
    </row>
    <row r="475" spans="1:7" ht="31.5">
      <c r="A475" s="17"/>
      <c r="B475" s="13" t="s">
        <v>853</v>
      </c>
      <c r="C475" s="4" t="s">
        <v>20</v>
      </c>
      <c r="D475" s="9">
        <v>56</v>
      </c>
      <c r="E475" s="25">
        <v>193000</v>
      </c>
      <c r="F475" s="25">
        <v>10808000</v>
      </c>
      <c r="G475" s="94"/>
    </row>
    <row r="476" spans="1:7" ht="31.5">
      <c r="A476" s="17"/>
      <c r="B476" s="13" t="s">
        <v>846</v>
      </c>
      <c r="C476" s="2" t="s">
        <v>210</v>
      </c>
      <c r="D476" s="9">
        <v>70</v>
      </c>
      <c r="E476" s="126"/>
      <c r="F476" s="25">
        <v>0</v>
      </c>
      <c r="G476" s="93"/>
    </row>
    <row r="477" spans="1:7" ht="31.5">
      <c r="A477" s="17"/>
      <c r="B477" s="13" t="s">
        <v>843</v>
      </c>
      <c r="C477" s="8" t="s">
        <v>210</v>
      </c>
      <c r="D477" s="9">
        <v>30</v>
      </c>
      <c r="E477" s="24">
        <v>106810</v>
      </c>
      <c r="F477" s="25">
        <v>3204300</v>
      </c>
      <c r="G477" s="95" t="s">
        <v>903</v>
      </c>
    </row>
    <row r="478" spans="1:7" ht="31.5">
      <c r="A478" s="17"/>
      <c r="B478" s="13" t="s">
        <v>873</v>
      </c>
      <c r="C478" s="8" t="s">
        <v>210</v>
      </c>
      <c r="D478" s="9">
        <v>45</v>
      </c>
      <c r="E478" s="125">
        <v>9680</v>
      </c>
      <c r="F478" s="25">
        <v>435600</v>
      </c>
      <c r="G478" s="95" t="s">
        <v>903</v>
      </c>
    </row>
    <row r="479" spans="1:7" ht="110.25">
      <c r="A479" s="17"/>
      <c r="B479" s="11" t="s">
        <v>309</v>
      </c>
      <c r="C479" s="4" t="s">
        <v>20</v>
      </c>
      <c r="D479" s="10">
        <v>72</v>
      </c>
      <c r="E479" s="24">
        <v>3230000</v>
      </c>
      <c r="F479" s="25">
        <v>232560000</v>
      </c>
      <c r="G479" s="93"/>
    </row>
    <row r="480" spans="1:7" ht="18.75">
      <c r="A480" s="11"/>
      <c r="B480" s="12" t="s">
        <v>28</v>
      </c>
      <c r="C480" s="4" t="s">
        <v>20</v>
      </c>
      <c r="D480" s="9">
        <v>9.75</v>
      </c>
      <c r="E480" s="25">
        <v>85000</v>
      </c>
      <c r="F480" s="25">
        <v>828750</v>
      </c>
      <c r="G480" s="94" t="s">
        <v>187</v>
      </c>
    </row>
    <row r="481" spans="1:7" ht="18.75">
      <c r="A481" s="17"/>
      <c r="B481" s="13" t="s">
        <v>25</v>
      </c>
      <c r="C481" s="4" t="s">
        <v>32</v>
      </c>
      <c r="D481" s="9">
        <v>0.30000000000000004</v>
      </c>
      <c r="E481" s="25">
        <v>1250000</v>
      </c>
      <c r="F481" s="25">
        <v>375000.00000000006</v>
      </c>
      <c r="G481" s="93"/>
    </row>
    <row r="482" spans="1:7" ht="31.5">
      <c r="A482" s="17"/>
      <c r="B482" s="13" t="s">
        <v>882</v>
      </c>
      <c r="C482" s="8" t="s">
        <v>210</v>
      </c>
      <c r="D482" s="9">
        <v>40</v>
      </c>
      <c r="E482" s="125">
        <v>13640</v>
      </c>
      <c r="F482" s="25">
        <v>545600</v>
      </c>
      <c r="G482" s="95" t="s">
        <v>903</v>
      </c>
    </row>
    <row r="483" spans="1:7" ht="18.75">
      <c r="A483" s="17"/>
      <c r="B483" s="13" t="s">
        <v>169</v>
      </c>
      <c r="C483" s="4" t="s">
        <v>32</v>
      </c>
      <c r="D483" s="9">
        <v>5.7546</v>
      </c>
      <c r="E483" s="24">
        <v>1684000</v>
      </c>
      <c r="F483" s="25">
        <v>9690746.4</v>
      </c>
      <c r="G483" s="93"/>
    </row>
    <row r="484" spans="1:7" ht="15.75">
      <c r="A484" s="17"/>
      <c r="B484" s="13" t="s">
        <v>856</v>
      </c>
      <c r="C484" s="8" t="s">
        <v>210</v>
      </c>
      <c r="D484" s="9">
        <v>6</v>
      </c>
      <c r="E484" s="24">
        <v>106810</v>
      </c>
      <c r="F484" s="25">
        <v>640860</v>
      </c>
      <c r="G484" s="95" t="s">
        <v>903</v>
      </c>
    </row>
    <row r="485" spans="1:7" ht="15.75">
      <c r="A485" s="17"/>
      <c r="B485" s="13" t="s">
        <v>857</v>
      </c>
      <c r="C485" s="8" t="s">
        <v>210</v>
      </c>
      <c r="D485" s="9">
        <v>30</v>
      </c>
      <c r="E485" s="125">
        <v>44770</v>
      </c>
      <c r="F485" s="25">
        <v>1343100</v>
      </c>
      <c r="G485" s="95" t="s">
        <v>903</v>
      </c>
    </row>
    <row r="486" spans="1:7" ht="110.25">
      <c r="A486" s="17"/>
      <c r="B486" s="11" t="s">
        <v>580</v>
      </c>
      <c r="C486" s="4" t="s">
        <v>20</v>
      </c>
      <c r="D486" s="10">
        <v>92.13999999999999</v>
      </c>
      <c r="E486" s="24">
        <v>3230000</v>
      </c>
      <c r="F486" s="25">
        <v>297612199.99999994</v>
      </c>
      <c r="G486" s="93"/>
    </row>
    <row r="487" spans="1:7" ht="18.75">
      <c r="A487" s="11"/>
      <c r="B487" s="12" t="s">
        <v>25</v>
      </c>
      <c r="C487" s="4" t="s">
        <v>32</v>
      </c>
      <c r="D487" s="9">
        <v>7.183</v>
      </c>
      <c r="E487" s="25">
        <v>1250000</v>
      </c>
      <c r="F487" s="25">
        <v>8978750</v>
      </c>
      <c r="G487" s="93"/>
    </row>
    <row r="488" spans="1:7" ht="18.75">
      <c r="A488" s="17"/>
      <c r="B488" s="13" t="s">
        <v>26</v>
      </c>
      <c r="C488" s="4" t="s">
        <v>20</v>
      </c>
      <c r="D488" s="9">
        <v>216.58</v>
      </c>
      <c r="E488" s="24">
        <v>82000</v>
      </c>
      <c r="F488" s="25">
        <v>17759560</v>
      </c>
      <c r="G488" s="93"/>
    </row>
    <row r="489" spans="1:7" ht="31.5">
      <c r="A489" s="17"/>
      <c r="B489" s="13" t="s">
        <v>279</v>
      </c>
      <c r="C489" s="4" t="s">
        <v>20</v>
      </c>
      <c r="D489" s="9">
        <v>46.519999999999996</v>
      </c>
      <c r="E489" s="24">
        <v>498000</v>
      </c>
      <c r="F489" s="25">
        <v>23166959.999999996</v>
      </c>
      <c r="G489" s="93"/>
    </row>
    <row r="490" spans="1:7" ht="18.75">
      <c r="A490" s="17"/>
      <c r="B490" s="13" t="s">
        <v>28</v>
      </c>
      <c r="C490" s="4" t="s">
        <v>20</v>
      </c>
      <c r="D490" s="9">
        <v>4.1850000000000005</v>
      </c>
      <c r="E490" s="25">
        <v>85000</v>
      </c>
      <c r="F490" s="25">
        <v>355725.00000000006</v>
      </c>
      <c r="G490" s="94" t="s">
        <v>187</v>
      </c>
    </row>
    <row r="491" spans="1:7" ht="31.5">
      <c r="A491" s="17"/>
      <c r="B491" s="13" t="s">
        <v>280</v>
      </c>
      <c r="C491" s="4" t="s">
        <v>20</v>
      </c>
      <c r="D491" s="9">
        <v>4.16</v>
      </c>
      <c r="E491" s="25">
        <v>928000</v>
      </c>
      <c r="F491" s="25">
        <v>3860480</v>
      </c>
      <c r="G491" s="93"/>
    </row>
    <row r="492" spans="1:7" ht="18.75">
      <c r="A492" s="17"/>
      <c r="B492" s="13" t="s">
        <v>27</v>
      </c>
      <c r="C492" s="4" t="s">
        <v>32</v>
      </c>
      <c r="D492" s="9">
        <v>1.2300000000000002</v>
      </c>
      <c r="E492" s="25">
        <v>1854000</v>
      </c>
      <c r="F492" s="25">
        <v>2280420.0000000005</v>
      </c>
      <c r="G492" s="93"/>
    </row>
    <row r="493" spans="1:7" ht="18.75">
      <c r="A493" s="17"/>
      <c r="B493" s="13" t="s">
        <v>281</v>
      </c>
      <c r="C493" s="4" t="s">
        <v>20</v>
      </c>
      <c r="D493" s="9">
        <v>8.7</v>
      </c>
      <c r="E493" s="25">
        <v>240000</v>
      </c>
      <c r="F493" s="25">
        <v>2087999.9999999998</v>
      </c>
      <c r="G493" s="93"/>
    </row>
    <row r="494" spans="1:7" ht="31.5">
      <c r="A494" s="17"/>
      <c r="B494" s="13" t="s">
        <v>282</v>
      </c>
      <c r="C494" s="4" t="s">
        <v>20</v>
      </c>
      <c r="D494" s="9">
        <v>18</v>
      </c>
      <c r="E494" s="25">
        <v>325000</v>
      </c>
      <c r="F494" s="25">
        <v>5850000</v>
      </c>
      <c r="G494" s="93"/>
    </row>
    <row r="495" spans="1:7" ht="31.5">
      <c r="A495" s="62"/>
      <c r="B495" s="29" t="s">
        <v>858</v>
      </c>
      <c r="C495" s="37" t="s">
        <v>32</v>
      </c>
      <c r="D495" s="60">
        <v>7.0649999999999995</v>
      </c>
      <c r="E495" s="130">
        <v>1684000</v>
      </c>
      <c r="F495" s="125">
        <v>11897460</v>
      </c>
      <c r="G495" s="106" t="s">
        <v>582</v>
      </c>
    </row>
    <row r="496" spans="1:7" ht="31.5">
      <c r="A496" s="17"/>
      <c r="B496" s="13" t="s">
        <v>836</v>
      </c>
      <c r="C496" s="8" t="s">
        <v>210</v>
      </c>
      <c r="D496" s="9">
        <v>40</v>
      </c>
      <c r="E496" s="125">
        <v>13640</v>
      </c>
      <c r="F496" s="25">
        <v>545600</v>
      </c>
      <c r="G496" s="95" t="s">
        <v>903</v>
      </c>
    </row>
    <row r="497" spans="1:7" ht="47.25">
      <c r="A497" s="17"/>
      <c r="B497" s="13" t="s">
        <v>314</v>
      </c>
      <c r="C497" s="4" t="s">
        <v>20</v>
      </c>
      <c r="D497" s="9">
        <v>4.620000000000001</v>
      </c>
      <c r="E497" s="126">
        <v>498000</v>
      </c>
      <c r="F497" s="25">
        <v>2300760.0000000005</v>
      </c>
      <c r="G497" s="93"/>
    </row>
    <row r="498" spans="1:7" ht="31.5">
      <c r="A498" s="17"/>
      <c r="B498" s="13" t="s">
        <v>859</v>
      </c>
      <c r="C498" s="8" t="s">
        <v>210</v>
      </c>
      <c r="D498" s="9">
        <v>18</v>
      </c>
      <c r="E498" s="125">
        <v>326150</v>
      </c>
      <c r="F498" s="25">
        <v>5870700</v>
      </c>
      <c r="G498" s="95" t="s">
        <v>903</v>
      </c>
    </row>
    <row r="499" spans="1:7" ht="18.75">
      <c r="A499" s="17"/>
      <c r="B499" s="13" t="s">
        <v>283</v>
      </c>
      <c r="C499" s="4" t="s">
        <v>20</v>
      </c>
      <c r="D499" s="9">
        <v>27.36</v>
      </c>
      <c r="E499" s="25">
        <v>85000</v>
      </c>
      <c r="F499" s="25">
        <v>2325600</v>
      </c>
      <c r="G499" s="94" t="s">
        <v>187</v>
      </c>
    </row>
    <row r="500" spans="1:7" ht="15.75">
      <c r="A500" s="17"/>
      <c r="B500" s="13" t="s">
        <v>583</v>
      </c>
      <c r="C500" s="4" t="s">
        <v>192</v>
      </c>
      <c r="D500" s="9">
        <v>1</v>
      </c>
      <c r="E500" s="25">
        <v>900000</v>
      </c>
      <c r="F500" s="25">
        <v>900000</v>
      </c>
      <c r="G500" s="94" t="s">
        <v>187</v>
      </c>
    </row>
    <row r="501" spans="1:7" ht="31.5">
      <c r="A501" s="17"/>
      <c r="B501" s="13" t="s">
        <v>860</v>
      </c>
      <c r="C501" s="2" t="s">
        <v>210</v>
      </c>
      <c r="D501" s="9">
        <v>50</v>
      </c>
      <c r="E501" s="126"/>
      <c r="F501" s="25">
        <v>0</v>
      </c>
      <c r="G501" s="93"/>
    </row>
    <row r="502" spans="1:7" ht="94.5">
      <c r="A502" s="17"/>
      <c r="B502" s="11" t="s">
        <v>285</v>
      </c>
      <c r="C502" s="4" t="s">
        <v>20</v>
      </c>
      <c r="D502" s="10">
        <v>49.3</v>
      </c>
      <c r="E502" s="24">
        <v>2821600</v>
      </c>
      <c r="F502" s="25">
        <v>139104880</v>
      </c>
      <c r="G502" s="92" t="s">
        <v>764</v>
      </c>
    </row>
    <row r="503" spans="1:7" ht="31.5">
      <c r="A503" s="11"/>
      <c r="B503" s="12" t="s">
        <v>47</v>
      </c>
      <c r="C503" s="4" t="s">
        <v>20</v>
      </c>
      <c r="D503" s="9">
        <v>9.6</v>
      </c>
      <c r="E503" s="24">
        <v>498000</v>
      </c>
      <c r="F503" s="25">
        <v>4780800</v>
      </c>
      <c r="G503" s="93"/>
    </row>
    <row r="504" spans="1:7" ht="31.5">
      <c r="A504" s="17"/>
      <c r="B504" s="13" t="s">
        <v>875</v>
      </c>
      <c r="C504" s="2" t="s">
        <v>210</v>
      </c>
      <c r="D504" s="9">
        <v>25</v>
      </c>
      <c r="E504" s="126"/>
      <c r="F504" s="25">
        <v>0</v>
      </c>
      <c r="G504" s="93"/>
    </row>
    <row r="505" spans="1:7" ht="31.5">
      <c r="A505" s="17"/>
      <c r="B505" s="13" t="s">
        <v>862</v>
      </c>
      <c r="C505" s="4" t="s">
        <v>32</v>
      </c>
      <c r="D505" s="87">
        <v>1.57</v>
      </c>
      <c r="E505" s="24">
        <v>1684000</v>
      </c>
      <c r="F505" s="25">
        <v>2643880</v>
      </c>
      <c r="G505" s="93"/>
    </row>
    <row r="506" spans="1:7" ht="18.75">
      <c r="A506" s="17"/>
      <c r="B506" s="11" t="s">
        <v>36</v>
      </c>
      <c r="C506" s="4" t="s">
        <v>20</v>
      </c>
      <c r="D506" s="10">
        <v>57.51</v>
      </c>
      <c r="E506" s="25">
        <v>125000</v>
      </c>
      <c r="F506" s="25">
        <v>7188750</v>
      </c>
      <c r="G506" s="93"/>
    </row>
    <row r="507" spans="1:7" ht="18.75">
      <c r="A507" s="11"/>
      <c r="B507" s="12" t="s">
        <v>263</v>
      </c>
      <c r="C507" s="4" t="s">
        <v>20</v>
      </c>
      <c r="D507" s="9">
        <v>101.97000000000001</v>
      </c>
      <c r="E507" s="25">
        <v>125000</v>
      </c>
      <c r="F507" s="25">
        <v>12746250.000000002</v>
      </c>
      <c r="G507" s="93"/>
    </row>
    <row r="508" spans="1:7" ht="18.75">
      <c r="A508" s="17"/>
      <c r="B508" s="13" t="s">
        <v>25</v>
      </c>
      <c r="C508" s="4" t="s">
        <v>32</v>
      </c>
      <c r="D508" s="9">
        <v>17.3575</v>
      </c>
      <c r="E508" s="25">
        <v>1250000</v>
      </c>
      <c r="F508" s="25">
        <v>21696875.000000004</v>
      </c>
      <c r="G508" s="93"/>
    </row>
    <row r="509" spans="1:7" ht="18.75">
      <c r="A509" s="17"/>
      <c r="B509" s="13" t="s">
        <v>289</v>
      </c>
      <c r="C509" s="4" t="s">
        <v>20</v>
      </c>
      <c r="D509" s="9">
        <v>2.94</v>
      </c>
      <c r="E509" s="25">
        <v>57000</v>
      </c>
      <c r="F509" s="25">
        <v>167580</v>
      </c>
      <c r="G509" s="94" t="s">
        <v>187</v>
      </c>
    </row>
    <row r="510" spans="1:7" ht="18.75">
      <c r="A510" s="17"/>
      <c r="B510" s="13" t="s">
        <v>26</v>
      </c>
      <c r="C510" s="4" t="s">
        <v>20</v>
      </c>
      <c r="D510" s="9">
        <v>4.18</v>
      </c>
      <c r="E510" s="24">
        <v>82000</v>
      </c>
      <c r="F510" s="25">
        <v>342760</v>
      </c>
      <c r="G510" s="93"/>
    </row>
    <row r="511" spans="1:7" ht="18.75">
      <c r="A511" s="17"/>
      <c r="B511" s="29" t="s">
        <v>168</v>
      </c>
      <c r="C511" s="4" t="s">
        <v>20</v>
      </c>
      <c r="D511" s="9">
        <v>2.94</v>
      </c>
      <c r="E511" s="25">
        <v>364000</v>
      </c>
      <c r="F511" s="25">
        <v>1070160</v>
      </c>
      <c r="G511" s="94"/>
    </row>
    <row r="512" spans="1:7" ht="31.5">
      <c r="A512" s="17"/>
      <c r="B512" s="13" t="s">
        <v>271</v>
      </c>
      <c r="C512" s="4" t="s">
        <v>20</v>
      </c>
      <c r="D512" s="9">
        <v>46.905</v>
      </c>
      <c r="E512" s="25">
        <v>110000</v>
      </c>
      <c r="F512" s="25">
        <v>5159550</v>
      </c>
      <c r="G512" s="93"/>
    </row>
    <row r="513" spans="1:7" ht="47.25">
      <c r="A513" s="17"/>
      <c r="B513" s="11" t="s">
        <v>292</v>
      </c>
      <c r="C513" s="4" t="s">
        <v>20</v>
      </c>
      <c r="D513" s="10">
        <v>39.35999999999999</v>
      </c>
      <c r="E513" s="24">
        <v>821000</v>
      </c>
      <c r="F513" s="25">
        <v>32314559.999999993</v>
      </c>
      <c r="G513" s="90"/>
    </row>
    <row r="514" spans="1:7" ht="31.5">
      <c r="A514" s="11"/>
      <c r="B514" s="13" t="s">
        <v>293</v>
      </c>
      <c r="C514" s="4" t="s">
        <v>20</v>
      </c>
      <c r="D514" s="7">
        <v>6.6</v>
      </c>
      <c r="E514" s="25">
        <v>150000</v>
      </c>
      <c r="F514" s="25">
        <v>990000</v>
      </c>
      <c r="G514" s="90"/>
    </row>
    <row r="515" spans="1:7" ht="31.5">
      <c r="A515" s="17"/>
      <c r="B515" s="13" t="s">
        <v>882</v>
      </c>
      <c r="C515" s="8" t="s">
        <v>210</v>
      </c>
      <c r="D515" s="9">
        <v>20</v>
      </c>
      <c r="E515" s="125">
        <v>13640</v>
      </c>
      <c r="F515" s="25">
        <v>272800</v>
      </c>
      <c r="G515" s="95" t="s">
        <v>903</v>
      </c>
    </row>
    <row r="516" spans="1:7" ht="31.5">
      <c r="A516" s="11"/>
      <c r="B516" s="13" t="s">
        <v>55</v>
      </c>
      <c r="C516" s="2" t="s">
        <v>20</v>
      </c>
      <c r="D516" s="7">
        <v>16</v>
      </c>
      <c r="E516" s="25">
        <v>325000</v>
      </c>
      <c r="F516" s="25">
        <v>5200000</v>
      </c>
      <c r="G516" s="93"/>
    </row>
    <row r="517" spans="1:7" ht="31.5">
      <c r="A517" s="17"/>
      <c r="B517" s="11" t="s">
        <v>296</v>
      </c>
      <c r="C517" s="8"/>
      <c r="D517" s="10"/>
      <c r="E517" s="24"/>
      <c r="F517" s="25"/>
      <c r="G517" s="93"/>
    </row>
    <row r="518" spans="1:7" ht="31.5">
      <c r="A518" s="11"/>
      <c r="B518" s="11" t="s">
        <v>300</v>
      </c>
      <c r="C518" s="4" t="s">
        <v>20</v>
      </c>
      <c r="D518" s="10">
        <v>35.279999999999994</v>
      </c>
      <c r="E518" s="24">
        <v>928000</v>
      </c>
      <c r="F518" s="25">
        <v>32739839.999999996</v>
      </c>
      <c r="G518" s="93"/>
    </row>
    <row r="519" spans="1:7" ht="18.75">
      <c r="A519" s="17"/>
      <c r="B519" s="12" t="s">
        <v>25</v>
      </c>
      <c r="C519" s="4" t="s">
        <v>32</v>
      </c>
      <c r="D519" s="9">
        <v>0.92</v>
      </c>
      <c r="E519" s="25">
        <v>1250000</v>
      </c>
      <c r="F519" s="25">
        <v>1150000</v>
      </c>
      <c r="G519" s="93"/>
    </row>
    <row r="520" spans="1:7" ht="31.5">
      <c r="A520" s="17"/>
      <c r="B520" s="30" t="s">
        <v>312</v>
      </c>
      <c r="C520" s="4" t="s">
        <v>20</v>
      </c>
      <c r="D520" s="10">
        <v>208.66999999999996</v>
      </c>
      <c r="E520" s="24">
        <v>325000</v>
      </c>
      <c r="F520" s="25">
        <v>67817749.99999999</v>
      </c>
      <c r="G520" s="93"/>
    </row>
    <row r="521" spans="1:7" ht="78.75">
      <c r="A521" s="11"/>
      <c r="B521" s="11" t="s">
        <v>324</v>
      </c>
      <c r="C521" s="4" t="s">
        <v>20</v>
      </c>
      <c r="D521" s="10">
        <v>12.285</v>
      </c>
      <c r="E521" s="24">
        <v>3230000</v>
      </c>
      <c r="F521" s="25">
        <v>39680550</v>
      </c>
      <c r="G521" s="103"/>
    </row>
    <row r="522" spans="1:7" ht="31.5">
      <c r="A522" s="17"/>
      <c r="B522" s="13" t="s">
        <v>325</v>
      </c>
      <c r="C522" s="2" t="s">
        <v>20</v>
      </c>
      <c r="D522" s="9">
        <v>5.06</v>
      </c>
      <c r="E522" s="25">
        <v>150000</v>
      </c>
      <c r="F522" s="25">
        <v>758999.9999999999</v>
      </c>
      <c r="G522" s="93"/>
    </row>
    <row r="523" spans="1:7" ht="18.75">
      <c r="A523" s="11"/>
      <c r="B523" s="12" t="s">
        <v>36</v>
      </c>
      <c r="C523" s="4" t="s">
        <v>20</v>
      </c>
      <c r="D523" s="10">
        <v>5.61</v>
      </c>
      <c r="E523" s="25">
        <v>125000</v>
      </c>
      <c r="F523" s="25">
        <v>701250</v>
      </c>
      <c r="G523" s="93"/>
    </row>
    <row r="524" spans="1:7" ht="18.75">
      <c r="A524" s="11"/>
      <c r="B524" s="48" t="s">
        <v>25</v>
      </c>
      <c r="C524" s="37" t="s">
        <v>32</v>
      </c>
      <c r="D524" s="60">
        <v>1.1875</v>
      </c>
      <c r="E524" s="25">
        <v>1250000</v>
      </c>
      <c r="F524" s="25">
        <v>1484375</v>
      </c>
      <c r="G524" s="93"/>
    </row>
    <row r="525" spans="1:7" ht="18.75">
      <c r="A525" s="11"/>
      <c r="B525" s="48" t="s">
        <v>26</v>
      </c>
      <c r="C525" s="4" t="s">
        <v>20</v>
      </c>
      <c r="D525" s="60">
        <v>23.75</v>
      </c>
      <c r="E525" s="25">
        <v>82000</v>
      </c>
      <c r="F525" s="25">
        <v>1947500</v>
      </c>
      <c r="G525" s="93"/>
    </row>
    <row r="526" spans="1:7" ht="63">
      <c r="A526" s="11"/>
      <c r="B526" s="11" t="s">
        <v>321</v>
      </c>
      <c r="C526" s="4" t="s">
        <v>20</v>
      </c>
      <c r="D526" s="10">
        <v>4.620000000000001</v>
      </c>
      <c r="E526" s="24">
        <v>2821600</v>
      </c>
      <c r="F526" s="25">
        <v>13035792.000000004</v>
      </c>
      <c r="G526" s="92" t="s">
        <v>764</v>
      </c>
    </row>
    <row r="527" spans="1:7" ht="31.5">
      <c r="A527" s="66"/>
      <c r="B527" s="12" t="s">
        <v>322</v>
      </c>
      <c r="C527" s="4" t="s">
        <v>20</v>
      </c>
      <c r="D527" s="10">
        <v>8.106</v>
      </c>
      <c r="E527" s="25">
        <v>821000</v>
      </c>
      <c r="F527" s="25">
        <v>6655026</v>
      </c>
      <c r="G527" s="93"/>
    </row>
    <row r="528" spans="1:7" ht="126">
      <c r="A528" s="17"/>
      <c r="B528" s="13" t="s">
        <v>328</v>
      </c>
      <c r="C528" s="4" t="s">
        <v>20</v>
      </c>
      <c r="D528" s="10">
        <v>64</v>
      </c>
      <c r="E528" s="136">
        <v>5223000</v>
      </c>
      <c r="F528" s="25">
        <v>334272000</v>
      </c>
      <c r="G528" s="95" t="s">
        <v>766</v>
      </c>
    </row>
    <row r="529" spans="1:7" ht="78.75">
      <c r="A529" s="11"/>
      <c r="B529" s="13" t="s">
        <v>330</v>
      </c>
      <c r="C529" s="4" t="s">
        <v>20</v>
      </c>
      <c r="D529" s="9">
        <v>12.96</v>
      </c>
      <c r="E529" s="25">
        <v>2918500</v>
      </c>
      <c r="F529" s="25">
        <v>37823760</v>
      </c>
      <c r="G529" s="92" t="s">
        <v>767</v>
      </c>
    </row>
    <row r="530" spans="1:7" ht="18.75">
      <c r="A530" s="17"/>
      <c r="B530" s="13" t="s">
        <v>169</v>
      </c>
      <c r="C530" s="4" t="s">
        <v>32</v>
      </c>
      <c r="D530" s="10">
        <v>22.5</v>
      </c>
      <c r="E530" s="24">
        <v>1684000</v>
      </c>
      <c r="F530" s="25">
        <v>37890000</v>
      </c>
      <c r="G530" s="93"/>
    </row>
    <row r="531" spans="1:7" ht="210">
      <c r="A531" s="16"/>
      <c r="B531" s="11" t="s">
        <v>332</v>
      </c>
      <c r="C531" s="4" t="s">
        <v>20</v>
      </c>
      <c r="D531" s="60">
        <v>8.52</v>
      </c>
      <c r="E531" s="24">
        <v>1928000</v>
      </c>
      <c r="F531" s="25">
        <v>16426560</v>
      </c>
      <c r="G531" s="179" t="s">
        <v>904</v>
      </c>
    </row>
    <row r="532" spans="1:7" ht="30">
      <c r="A532" s="11"/>
      <c r="B532" s="13" t="s">
        <v>334</v>
      </c>
      <c r="C532" s="4" t="s">
        <v>32</v>
      </c>
      <c r="D532" s="10">
        <v>2.448</v>
      </c>
      <c r="E532" s="25">
        <v>7030000</v>
      </c>
      <c r="F532" s="25">
        <v>17209440</v>
      </c>
      <c r="G532" s="93" t="s">
        <v>488</v>
      </c>
    </row>
    <row r="533" spans="1:7" ht="30">
      <c r="A533" s="17"/>
      <c r="B533" s="12" t="s">
        <v>169</v>
      </c>
      <c r="C533" s="4" t="s">
        <v>32</v>
      </c>
      <c r="D533" s="10">
        <v>15.78</v>
      </c>
      <c r="E533" s="24">
        <v>1684000</v>
      </c>
      <c r="F533" s="25">
        <v>26573520</v>
      </c>
      <c r="G533" s="90" t="s">
        <v>474</v>
      </c>
    </row>
    <row r="534" spans="1:7" ht="78.75">
      <c r="A534" s="17"/>
      <c r="B534" s="11" t="s">
        <v>336</v>
      </c>
      <c r="C534" s="4" t="s">
        <v>20</v>
      </c>
      <c r="D534" s="10">
        <v>14.8</v>
      </c>
      <c r="E534" s="24">
        <v>3080000</v>
      </c>
      <c r="F534" s="25">
        <v>45584000</v>
      </c>
      <c r="G534" s="94" t="s">
        <v>768</v>
      </c>
    </row>
    <row r="535" spans="1:7" ht="31.5">
      <c r="A535" s="11"/>
      <c r="B535" s="12" t="s">
        <v>573</v>
      </c>
      <c r="C535" s="4" t="s">
        <v>20</v>
      </c>
      <c r="D535" s="9">
        <v>3.7</v>
      </c>
      <c r="E535" s="25">
        <f>125000*40%</f>
        <v>50000</v>
      </c>
      <c r="F535" s="25">
        <f>D535*E535</f>
        <v>185000</v>
      </c>
      <c r="G535" s="93" t="s">
        <v>1146</v>
      </c>
    </row>
    <row r="536" spans="1:7" ht="110.25">
      <c r="A536" s="17"/>
      <c r="B536" s="11" t="s">
        <v>339</v>
      </c>
      <c r="C536" s="4" t="s">
        <v>20</v>
      </c>
      <c r="D536" s="10">
        <v>106.17850000000001</v>
      </c>
      <c r="E536" s="24">
        <v>2907000</v>
      </c>
      <c r="F536" s="25">
        <v>308660899.50000006</v>
      </c>
      <c r="G536" s="94" t="s">
        <v>482</v>
      </c>
    </row>
    <row r="537" spans="1:7" ht="31.5">
      <c r="A537" s="11"/>
      <c r="B537" s="12" t="s">
        <v>340</v>
      </c>
      <c r="C537" s="4" t="s">
        <v>20</v>
      </c>
      <c r="D537" s="9">
        <v>45.367</v>
      </c>
      <c r="E537" s="25">
        <v>498000</v>
      </c>
      <c r="F537" s="25">
        <v>22592766</v>
      </c>
      <c r="G537" s="93"/>
    </row>
    <row r="538" spans="1:7" ht="31.5">
      <c r="A538" s="17"/>
      <c r="B538" s="12" t="s">
        <v>40</v>
      </c>
      <c r="C538" s="4" t="s">
        <v>20</v>
      </c>
      <c r="D538" s="9">
        <v>8.8</v>
      </c>
      <c r="E538" s="25">
        <v>498000</v>
      </c>
      <c r="F538" s="25">
        <v>4382400</v>
      </c>
      <c r="G538" s="93"/>
    </row>
    <row r="539" spans="1:7" ht="31.5">
      <c r="A539" s="17"/>
      <c r="B539" s="12" t="s">
        <v>342</v>
      </c>
      <c r="C539" s="4" t="s">
        <v>20</v>
      </c>
      <c r="D539" s="9">
        <v>59.76</v>
      </c>
      <c r="E539" s="25">
        <v>498000</v>
      </c>
      <c r="F539" s="25">
        <v>29760480</v>
      </c>
      <c r="G539" s="93"/>
    </row>
    <row r="540" spans="1:7" ht="18.75">
      <c r="A540" s="17"/>
      <c r="B540" s="13" t="s">
        <v>36</v>
      </c>
      <c r="C540" s="4" t="s">
        <v>20</v>
      </c>
      <c r="D540" s="9">
        <v>15.600000000000001</v>
      </c>
      <c r="E540" s="25">
        <v>125000</v>
      </c>
      <c r="F540" s="25">
        <v>1950000.0000000002</v>
      </c>
      <c r="G540" s="93"/>
    </row>
    <row r="541" spans="1:7" ht="31.5">
      <c r="A541" s="17"/>
      <c r="B541" s="13" t="s">
        <v>883</v>
      </c>
      <c r="C541" s="8" t="s">
        <v>210</v>
      </c>
      <c r="D541" s="9">
        <v>15.6</v>
      </c>
      <c r="E541" s="125">
        <v>44770</v>
      </c>
      <c r="F541" s="25">
        <v>698412</v>
      </c>
      <c r="G541" s="95" t="s">
        <v>903</v>
      </c>
    </row>
    <row r="542" spans="1:7" ht="47.25">
      <c r="A542" s="17"/>
      <c r="B542" s="13" t="s">
        <v>884</v>
      </c>
      <c r="C542" s="8" t="s">
        <v>210</v>
      </c>
      <c r="D542" s="9">
        <v>70</v>
      </c>
      <c r="E542" s="125">
        <v>13640</v>
      </c>
      <c r="F542" s="25">
        <v>954800</v>
      </c>
      <c r="G542" s="95" t="s">
        <v>903</v>
      </c>
    </row>
    <row r="543" spans="1:7" ht="31.5">
      <c r="A543" s="17"/>
      <c r="B543" s="13" t="s">
        <v>39</v>
      </c>
      <c r="C543" s="4" t="s">
        <v>20</v>
      </c>
      <c r="D543" s="9">
        <v>22.5</v>
      </c>
      <c r="E543" s="25">
        <v>110000</v>
      </c>
      <c r="F543" s="25">
        <v>2475000</v>
      </c>
      <c r="G543" s="93"/>
    </row>
    <row r="544" spans="1:7" ht="18.75">
      <c r="A544" s="17"/>
      <c r="B544" s="13" t="s">
        <v>169</v>
      </c>
      <c r="C544" s="4" t="s">
        <v>32</v>
      </c>
      <c r="D544" s="9">
        <v>4</v>
      </c>
      <c r="E544" s="24">
        <v>1684000</v>
      </c>
      <c r="F544" s="25">
        <v>6736000</v>
      </c>
      <c r="G544" s="93"/>
    </row>
    <row r="545" spans="1:7" ht="63">
      <c r="A545" s="17"/>
      <c r="B545" s="11" t="s">
        <v>346</v>
      </c>
      <c r="C545" s="4" t="s">
        <v>20</v>
      </c>
      <c r="D545" s="10">
        <v>56</v>
      </c>
      <c r="E545" s="24">
        <v>2971600</v>
      </c>
      <c r="F545" s="25">
        <v>166409600</v>
      </c>
      <c r="G545" s="94" t="s">
        <v>483</v>
      </c>
    </row>
    <row r="546" spans="1:7" ht="31.5">
      <c r="A546" s="11"/>
      <c r="B546" s="12" t="s">
        <v>47</v>
      </c>
      <c r="C546" s="4" t="s">
        <v>20</v>
      </c>
      <c r="D546" s="9">
        <v>8</v>
      </c>
      <c r="E546" s="25">
        <v>498000</v>
      </c>
      <c r="F546" s="25">
        <v>3984000</v>
      </c>
      <c r="G546" s="93"/>
    </row>
    <row r="547" spans="1:7" ht="47.25">
      <c r="A547" s="17"/>
      <c r="B547" s="13" t="s">
        <v>494</v>
      </c>
      <c r="C547" s="4" t="s">
        <v>20</v>
      </c>
      <c r="D547" s="7">
        <v>14.4</v>
      </c>
      <c r="E547" s="25">
        <v>44000</v>
      </c>
      <c r="F547" s="24">
        <v>633600</v>
      </c>
      <c r="G547" s="95" t="s">
        <v>906</v>
      </c>
    </row>
    <row r="548" spans="1:7" ht="31.5">
      <c r="A548" s="17"/>
      <c r="B548" s="11" t="s">
        <v>574</v>
      </c>
      <c r="C548" s="4" t="s">
        <v>20</v>
      </c>
      <c r="D548" s="10">
        <v>8</v>
      </c>
      <c r="E548" s="25">
        <v>50000</v>
      </c>
      <c r="F548" s="24">
        <v>400000</v>
      </c>
      <c r="G548" s="95" t="s">
        <v>901</v>
      </c>
    </row>
    <row r="549" spans="1:7" ht="47.25">
      <c r="A549" s="17"/>
      <c r="B549" s="11" t="s">
        <v>808</v>
      </c>
      <c r="C549" s="4" t="s">
        <v>20</v>
      </c>
      <c r="D549" s="10">
        <v>14.4</v>
      </c>
      <c r="E549" s="125">
        <v>130000</v>
      </c>
      <c r="F549" s="25">
        <v>1872000</v>
      </c>
      <c r="G549" s="95" t="s">
        <v>908</v>
      </c>
    </row>
    <row r="550" spans="1:7" ht="47.25">
      <c r="A550" s="11"/>
      <c r="B550" s="12" t="s">
        <v>907</v>
      </c>
      <c r="C550" s="4" t="s">
        <v>20</v>
      </c>
      <c r="D550" s="9">
        <v>8</v>
      </c>
      <c r="E550" s="25">
        <v>96000</v>
      </c>
      <c r="F550" s="25">
        <v>768000</v>
      </c>
      <c r="G550" s="95" t="s">
        <v>909</v>
      </c>
    </row>
    <row r="551" spans="1:7" ht="78.75">
      <c r="A551" s="17"/>
      <c r="B551" s="11" t="s">
        <v>356</v>
      </c>
      <c r="C551" s="4" t="s">
        <v>20</v>
      </c>
      <c r="D551" s="10">
        <v>29.6</v>
      </c>
      <c r="E551" s="24">
        <v>2971600</v>
      </c>
      <c r="F551" s="25">
        <v>87959360</v>
      </c>
      <c r="G551" s="93" t="s">
        <v>769</v>
      </c>
    </row>
    <row r="552" spans="1:7" ht="63">
      <c r="A552" s="11"/>
      <c r="B552" s="12" t="s">
        <v>495</v>
      </c>
      <c r="C552" s="4" t="s">
        <v>20</v>
      </c>
      <c r="D552" s="9">
        <v>7</v>
      </c>
      <c r="E552" s="25">
        <v>294400</v>
      </c>
      <c r="F552" s="25">
        <v>2060800</v>
      </c>
      <c r="G552" s="95" t="s">
        <v>910</v>
      </c>
    </row>
    <row r="553" spans="1:7" ht="99">
      <c r="A553" s="17"/>
      <c r="B553" s="30" t="s">
        <v>361</v>
      </c>
      <c r="C553" s="37" t="s">
        <v>20</v>
      </c>
      <c r="D553" s="60">
        <v>14</v>
      </c>
      <c r="E553" s="24">
        <v>2810100</v>
      </c>
      <c r="F553" s="25">
        <v>39341400</v>
      </c>
      <c r="G553" s="95" t="s">
        <v>770</v>
      </c>
    </row>
    <row r="554" spans="1:7" ht="78.75">
      <c r="A554" s="11"/>
      <c r="B554" s="29" t="s">
        <v>363</v>
      </c>
      <c r="C554" s="4" t="s">
        <v>20</v>
      </c>
      <c r="D554" s="9">
        <v>12.25</v>
      </c>
      <c r="E554" s="25">
        <v>2610000</v>
      </c>
      <c r="F554" s="25">
        <v>31972500</v>
      </c>
      <c r="G554" s="95" t="s">
        <v>751</v>
      </c>
    </row>
    <row r="555" spans="1:7" ht="34.5">
      <c r="A555" s="17"/>
      <c r="B555" s="29" t="s">
        <v>505</v>
      </c>
      <c r="C555" s="53" t="s">
        <v>492</v>
      </c>
      <c r="D555" s="9">
        <v>15.839999999999998</v>
      </c>
      <c r="E555" s="25">
        <v>240000</v>
      </c>
      <c r="F555" s="25">
        <v>3801599.9999999995</v>
      </c>
      <c r="G555" s="95"/>
    </row>
    <row r="556" spans="1:7" ht="18.75">
      <c r="A556" s="17"/>
      <c r="B556" s="13" t="s">
        <v>169</v>
      </c>
      <c r="C556" s="4" t="s">
        <v>32</v>
      </c>
      <c r="D556" s="50">
        <v>4</v>
      </c>
      <c r="E556" s="24">
        <v>1684000</v>
      </c>
      <c r="F556" s="25">
        <v>6736000</v>
      </c>
      <c r="G556" s="93"/>
    </row>
    <row r="557" spans="1:7" ht="94.5">
      <c r="A557" s="19"/>
      <c r="B557" s="11" t="s">
        <v>571</v>
      </c>
      <c r="C557" s="4" t="s">
        <v>20</v>
      </c>
      <c r="D557" s="60">
        <v>13.6</v>
      </c>
      <c r="E557" s="24">
        <v>3230000</v>
      </c>
      <c r="F557" s="25">
        <v>43928000</v>
      </c>
      <c r="G557" s="94" t="s">
        <v>771</v>
      </c>
    </row>
    <row r="558" spans="1:7" ht="15.75">
      <c r="A558" s="11"/>
      <c r="B558" s="12" t="s">
        <v>489</v>
      </c>
      <c r="C558" s="4" t="s">
        <v>42</v>
      </c>
      <c r="D558" s="9">
        <v>1</v>
      </c>
      <c r="E558" s="25">
        <v>820000</v>
      </c>
      <c r="F558" s="25">
        <v>820000</v>
      </c>
      <c r="G558" s="94" t="s">
        <v>187</v>
      </c>
    </row>
    <row r="559" spans="1:7" ht="31.5">
      <c r="A559" s="19"/>
      <c r="B559" s="12" t="s">
        <v>879</v>
      </c>
      <c r="C559" s="8" t="s">
        <v>210</v>
      </c>
      <c r="D559" s="15">
        <v>6</v>
      </c>
      <c r="E559" s="24">
        <v>106810</v>
      </c>
      <c r="F559" s="25">
        <v>640860</v>
      </c>
      <c r="G559" s="95" t="s">
        <v>903</v>
      </c>
    </row>
    <row r="560" spans="1:7" ht="31.5">
      <c r="A560" s="11"/>
      <c r="B560" s="12" t="s">
        <v>882</v>
      </c>
      <c r="C560" s="8" t="s">
        <v>210</v>
      </c>
      <c r="D560" s="10">
        <v>18</v>
      </c>
      <c r="E560" s="125">
        <v>13640</v>
      </c>
      <c r="F560" s="25">
        <v>245520</v>
      </c>
      <c r="G560" s="95" t="s">
        <v>903</v>
      </c>
    </row>
    <row r="561" spans="1:7" ht="31.5">
      <c r="A561" s="11"/>
      <c r="B561" s="39" t="s">
        <v>885</v>
      </c>
      <c r="C561" s="86" t="s">
        <v>210</v>
      </c>
      <c r="D561" s="10">
        <v>18</v>
      </c>
      <c r="E561" s="130">
        <v>19140</v>
      </c>
      <c r="F561" s="25">
        <v>344520</v>
      </c>
      <c r="G561" s="95" t="s">
        <v>903</v>
      </c>
    </row>
    <row r="562" spans="1:7" ht="78.75">
      <c r="A562" s="11"/>
      <c r="B562" s="11" t="s">
        <v>484</v>
      </c>
      <c r="C562" s="4" t="s">
        <v>20</v>
      </c>
      <c r="D562" s="10">
        <v>22.4</v>
      </c>
      <c r="E562" s="24">
        <v>2971600</v>
      </c>
      <c r="F562" s="25">
        <v>66563839.99999999</v>
      </c>
      <c r="G562" s="94" t="s">
        <v>483</v>
      </c>
    </row>
    <row r="563" spans="1:7" ht="15.75">
      <c r="A563" s="17"/>
      <c r="B563" s="12" t="s">
        <v>490</v>
      </c>
      <c r="C563" s="2" t="s">
        <v>42</v>
      </c>
      <c r="D563" s="9">
        <v>1</v>
      </c>
      <c r="E563" s="25">
        <v>820000</v>
      </c>
      <c r="F563" s="25">
        <v>820000</v>
      </c>
      <c r="G563" s="94" t="s">
        <v>187</v>
      </c>
    </row>
    <row r="564" spans="1:7" ht="31.5">
      <c r="A564" s="17"/>
      <c r="B564" s="13" t="s">
        <v>836</v>
      </c>
      <c r="C564" s="8" t="s">
        <v>210</v>
      </c>
      <c r="D564" s="9">
        <v>20</v>
      </c>
      <c r="E564" s="125">
        <v>13640</v>
      </c>
      <c r="F564" s="25">
        <v>272800</v>
      </c>
      <c r="G564" s="95" t="s">
        <v>903</v>
      </c>
    </row>
    <row r="565" spans="1:7" ht="18.75">
      <c r="A565" s="17"/>
      <c r="B565" s="11" t="s">
        <v>281</v>
      </c>
      <c r="C565" s="4" t="s">
        <v>20</v>
      </c>
      <c r="D565" s="10">
        <v>7.6</v>
      </c>
      <c r="E565" s="25">
        <v>240000</v>
      </c>
      <c r="F565" s="25">
        <v>1824000</v>
      </c>
      <c r="G565" s="93"/>
    </row>
    <row r="566" spans="1:7" ht="31.5">
      <c r="A566" s="17"/>
      <c r="B566" s="13" t="s">
        <v>870</v>
      </c>
      <c r="C566" s="4" t="s">
        <v>42</v>
      </c>
      <c r="D566" s="9">
        <v>1</v>
      </c>
      <c r="E566" s="25">
        <v>193000</v>
      </c>
      <c r="F566" s="25">
        <v>193000</v>
      </c>
      <c r="G566" s="94" t="s">
        <v>187</v>
      </c>
    </row>
    <row r="567" spans="1:7" ht="78.75">
      <c r="A567" s="17"/>
      <c r="B567" s="29" t="s">
        <v>368</v>
      </c>
      <c r="C567" s="4" t="s">
        <v>20</v>
      </c>
      <c r="D567" s="9">
        <v>5.4</v>
      </c>
      <c r="E567" s="25">
        <v>2610000</v>
      </c>
      <c r="F567" s="25">
        <v>14094000</v>
      </c>
      <c r="G567" s="95" t="s">
        <v>751</v>
      </c>
    </row>
    <row r="568" spans="1:7" ht="34.5">
      <c r="A568" s="17"/>
      <c r="B568" s="29" t="s">
        <v>206</v>
      </c>
      <c r="C568" s="53" t="s">
        <v>492</v>
      </c>
      <c r="D568" s="9">
        <v>13.76</v>
      </c>
      <c r="E568" s="25">
        <v>240000</v>
      </c>
      <c r="F568" s="25">
        <v>3302400</v>
      </c>
      <c r="G568" s="95"/>
    </row>
    <row r="569" spans="1:7" ht="63">
      <c r="A569" s="17"/>
      <c r="B569" s="13" t="s">
        <v>369</v>
      </c>
      <c r="C569" s="4" t="s">
        <v>20</v>
      </c>
      <c r="D569" s="9">
        <v>4</v>
      </c>
      <c r="E569" s="25">
        <v>821000</v>
      </c>
      <c r="F569" s="25">
        <v>3284000</v>
      </c>
      <c r="G569" s="93"/>
    </row>
    <row r="570" spans="1:7" ht="18.75">
      <c r="A570" s="17"/>
      <c r="B570" s="13" t="s">
        <v>25</v>
      </c>
      <c r="C570" s="4" t="s">
        <v>32</v>
      </c>
      <c r="D570" s="9">
        <v>1.56</v>
      </c>
      <c r="E570" s="25">
        <v>1250000</v>
      </c>
      <c r="F570" s="25">
        <v>1950000</v>
      </c>
      <c r="G570" s="93"/>
    </row>
    <row r="571" spans="1:7" ht="18.75">
      <c r="A571" s="17"/>
      <c r="B571" s="13" t="s">
        <v>26</v>
      </c>
      <c r="C571" s="4" t="s">
        <v>20</v>
      </c>
      <c r="D571" s="9">
        <v>15.6</v>
      </c>
      <c r="E571" s="25">
        <v>82000</v>
      </c>
      <c r="F571" s="25">
        <v>1279200</v>
      </c>
      <c r="G571" s="93"/>
    </row>
    <row r="572" spans="1:7" ht="31.5">
      <c r="A572" s="17"/>
      <c r="B572" s="11" t="s">
        <v>371</v>
      </c>
      <c r="C572" s="4" t="s">
        <v>20</v>
      </c>
      <c r="D572" s="10">
        <v>8.8</v>
      </c>
      <c r="E572" s="24">
        <v>498000</v>
      </c>
      <c r="F572" s="25">
        <v>4382400</v>
      </c>
      <c r="G572" s="93"/>
    </row>
    <row r="573" spans="1:7" ht="18.75">
      <c r="A573" s="17"/>
      <c r="B573" s="48" t="s">
        <v>25</v>
      </c>
      <c r="C573" s="4" t="s">
        <v>32</v>
      </c>
      <c r="D573" s="9">
        <v>2.1</v>
      </c>
      <c r="E573" s="25">
        <v>1250000</v>
      </c>
      <c r="F573" s="25">
        <v>2625000</v>
      </c>
      <c r="G573" s="93"/>
    </row>
    <row r="574" spans="1:7" ht="18.75">
      <c r="A574" s="17"/>
      <c r="B574" s="29" t="s">
        <v>26</v>
      </c>
      <c r="C574" s="4" t="s">
        <v>20</v>
      </c>
      <c r="D574" s="9">
        <v>42</v>
      </c>
      <c r="E574" s="25">
        <v>82000</v>
      </c>
      <c r="F574" s="25">
        <v>3444000</v>
      </c>
      <c r="G574" s="93"/>
    </row>
    <row r="575" spans="1:7" ht="15.75">
      <c r="A575" s="17"/>
      <c r="B575" s="13" t="s">
        <v>491</v>
      </c>
      <c r="C575" s="4" t="s">
        <v>373</v>
      </c>
      <c r="D575" s="9">
        <v>1</v>
      </c>
      <c r="E575" s="25">
        <v>820000</v>
      </c>
      <c r="F575" s="25">
        <v>820000</v>
      </c>
      <c r="G575" s="94" t="s">
        <v>187</v>
      </c>
    </row>
    <row r="576" spans="1:7" ht="94.5">
      <c r="A576" s="17"/>
      <c r="B576" s="11" t="s">
        <v>375</v>
      </c>
      <c r="C576" s="4" t="s">
        <v>20</v>
      </c>
      <c r="D576" s="10">
        <v>16.49</v>
      </c>
      <c r="E576" s="24">
        <v>2971600</v>
      </c>
      <c r="F576" s="25">
        <v>49001683.99999999</v>
      </c>
      <c r="G576" s="94" t="s">
        <v>483</v>
      </c>
    </row>
    <row r="577" spans="1:7" ht="31.5">
      <c r="A577" s="11"/>
      <c r="B577" s="12" t="s">
        <v>376</v>
      </c>
      <c r="C577" s="4" t="s">
        <v>20</v>
      </c>
      <c r="D577" s="9">
        <v>8</v>
      </c>
      <c r="E577" s="25">
        <v>110000</v>
      </c>
      <c r="F577" s="25">
        <v>880000</v>
      </c>
      <c r="G577" s="93"/>
    </row>
    <row r="578" spans="1:7" ht="18.75">
      <c r="A578" s="17"/>
      <c r="B578" s="13" t="s">
        <v>169</v>
      </c>
      <c r="C578" s="4" t="s">
        <v>32</v>
      </c>
      <c r="D578" s="9">
        <v>13.192</v>
      </c>
      <c r="E578" s="24">
        <v>1684000</v>
      </c>
      <c r="F578" s="25">
        <v>22215328</v>
      </c>
      <c r="G578" s="93"/>
    </row>
    <row r="579" spans="1:7" ht="47.25">
      <c r="A579" s="17"/>
      <c r="B579" s="11" t="s">
        <v>572</v>
      </c>
      <c r="C579" s="4" t="s">
        <v>20</v>
      </c>
      <c r="D579" s="10">
        <v>11.076</v>
      </c>
      <c r="E579" s="24">
        <v>821000</v>
      </c>
      <c r="F579" s="25">
        <v>9093396</v>
      </c>
      <c r="G579" s="93"/>
    </row>
    <row r="580" spans="1:7" ht="31.5">
      <c r="A580" s="11"/>
      <c r="B580" s="12" t="s">
        <v>371</v>
      </c>
      <c r="C580" s="4" t="s">
        <v>20</v>
      </c>
      <c r="D580" s="9">
        <v>22.4</v>
      </c>
      <c r="E580" s="24">
        <v>498000</v>
      </c>
      <c r="F580" s="25">
        <v>11155200</v>
      </c>
      <c r="G580" s="93"/>
    </row>
    <row r="581" spans="1:7" ht="78.75">
      <c r="A581" s="17"/>
      <c r="B581" s="29" t="s">
        <v>379</v>
      </c>
      <c r="C581" s="4" t="s">
        <v>20</v>
      </c>
      <c r="D581" s="9">
        <v>8.8</v>
      </c>
      <c r="E581" s="25">
        <v>2610000</v>
      </c>
      <c r="F581" s="25">
        <v>22968000</v>
      </c>
      <c r="G581" s="95" t="s">
        <v>751</v>
      </c>
    </row>
    <row r="582" spans="1:7" ht="34.5">
      <c r="A582" s="17"/>
      <c r="B582" s="29" t="s">
        <v>505</v>
      </c>
      <c r="C582" s="53" t="s">
        <v>492</v>
      </c>
      <c r="D582" s="9">
        <v>13.92</v>
      </c>
      <c r="E582" s="25">
        <v>240000</v>
      </c>
      <c r="F582" s="25">
        <v>3340800</v>
      </c>
      <c r="G582" s="95"/>
    </row>
    <row r="583" spans="1:7" ht="15.75">
      <c r="A583" s="11"/>
      <c r="B583" s="13" t="s">
        <v>41</v>
      </c>
      <c r="C583" s="8" t="s">
        <v>42</v>
      </c>
      <c r="D583" s="10">
        <v>1</v>
      </c>
      <c r="E583" s="25">
        <v>238000</v>
      </c>
      <c r="F583" s="25">
        <v>238000</v>
      </c>
      <c r="G583" s="93"/>
    </row>
    <row r="584" spans="1:7" ht="31.5">
      <c r="A584" s="11"/>
      <c r="B584" s="12" t="s">
        <v>836</v>
      </c>
      <c r="C584" s="8" t="s">
        <v>210</v>
      </c>
      <c r="D584" s="10">
        <v>25</v>
      </c>
      <c r="E584" s="125">
        <v>13640</v>
      </c>
      <c r="F584" s="25">
        <v>341000</v>
      </c>
      <c r="G584" s="95" t="s">
        <v>903</v>
      </c>
    </row>
    <row r="585" spans="1:7" ht="94.5">
      <c r="A585" s="17"/>
      <c r="B585" s="11" t="s">
        <v>382</v>
      </c>
      <c r="C585" s="4" t="s">
        <v>20</v>
      </c>
      <c r="D585" s="10">
        <v>66.4</v>
      </c>
      <c r="E585" s="24">
        <v>2810100</v>
      </c>
      <c r="F585" s="24">
        <v>186590640.00000003</v>
      </c>
      <c r="G585" s="94" t="s">
        <v>485</v>
      </c>
    </row>
    <row r="586" spans="1:7" ht="18.75">
      <c r="A586" s="11"/>
      <c r="B586" s="13" t="s">
        <v>166</v>
      </c>
      <c r="C586" s="4" t="s">
        <v>20</v>
      </c>
      <c r="D586" s="7">
        <v>24.4</v>
      </c>
      <c r="E586" s="25">
        <v>230000</v>
      </c>
      <c r="F586" s="24">
        <v>5612000</v>
      </c>
      <c r="G586" s="90"/>
    </row>
    <row r="587" spans="1:7" ht="18.75">
      <c r="A587" s="17"/>
      <c r="B587" s="13" t="s">
        <v>36</v>
      </c>
      <c r="C587" s="4" t="s">
        <v>20</v>
      </c>
      <c r="D587" s="9">
        <v>21.63</v>
      </c>
      <c r="E587" s="25">
        <v>125000</v>
      </c>
      <c r="F587" s="24">
        <v>2703750</v>
      </c>
      <c r="G587" s="90"/>
    </row>
    <row r="588" spans="1:7" ht="31.5">
      <c r="A588" s="17"/>
      <c r="B588" s="13" t="s">
        <v>384</v>
      </c>
      <c r="C588" s="4" t="s">
        <v>20</v>
      </c>
      <c r="D588" s="9">
        <v>8.8</v>
      </c>
      <c r="E588" s="24">
        <v>498000</v>
      </c>
      <c r="F588" s="24">
        <v>4382400</v>
      </c>
      <c r="G588" s="90"/>
    </row>
    <row r="589" spans="1:7" ht="78.75">
      <c r="A589" s="17"/>
      <c r="B589" s="29" t="s">
        <v>385</v>
      </c>
      <c r="C589" s="4" t="s">
        <v>20</v>
      </c>
      <c r="D589" s="9">
        <v>4.77</v>
      </c>
      <c r="E589" s="25">
        <v>2610000</v>
      </c>
      <c r="F589" s="24">
        <v>12449699.999999998</v>
      </c>
      <c r="G589" s="95" t="s">
        <v>751</v>
      </c>
    </row>
    <row r="590" spans="1:7" ht="34.5">
      <c r="A590" s="17"/>
      <c r="B590" s="29" t="s">
        <v>207</v>
      </c>
      <c r="C590" s="53" t="s">
        <v>492</v>
      </c>
      <c r="D590" s="9">
        <v>12.149999999999999</v>
      </c>
      <c r="E590" s="25">
        <v>240000</v>
      </c>
      <c r="F590" s="24">
        <v>2915999.9999999995</v>
      </c>
      <c r="G590" s="95"/>
    </row>
    <row r="591" spans="1:7" ht="18.75">
      <c r="A591" s="17"/>
      <c r="B591" s="13" t="s">
        <v>25</v>
      </c>
      <c r="C591" s="4" t="s">
        <v>32</v>
      </c>
      <c r="D591" s="9">
        <v>1.7000000000000002</v>
      </c>
      <c r="E591" s="25">
        <v>1250000</v>
      </c>
      <c r="F591" s="24">
        <v>2125000</v>
      </c>
      <c r="G591" s="90"/>
    </row>
    <row r="592" spans="1:7" ht="18.75">
      <c r="A592" s="17"/>
      <c r="B592" s="13" t="s">
        <v>26</v>
      </c>
      <c r="C592" s="4" t="s">
        <v>20</v>
      </c>
      <c r="D592" s="9">
        <v>34</v>
      </c>
      <c r="E592" s="25">
        <v>82000</v>
      </c>
      <c r="F592" s="24">
        <v>2788000</v>
      </c>
      <c r="G592" s="90"/>
    </row>
    <row r="593" spans="1:7" ht="15.75">
      <c r="A593" s="17"/>
      <c r="B593" s="13" t="s">
        <v>41</v>
      </c>
      <c r="C593" s="2" t="s">
        <v>42</v>
      </c>
      <c r="D593" s="9">
        <v>1</v>
      </c>
      <c r="E593" s="25">
        <v>238000</v>
      </c>
      <c r="F593" s="24">
        <v>238000</v>
      </c>
      <c r="G593" s="90"/>
    </row>
    <row r="594" spans="1:7" ht="31.5">
      <c r="A594" s="17"/>
      <c r="B594" s="13" t="s">
        <v>882</v>
      </c>
      <c r="C594" s="8" t="s">
        <v>210</v>
      </c>
      <c r="D594" s="9">
        <v>30</v>
      </c>
      <c r="E594" s="125">
        <v>13640</v>
      </c>
      <c r="F594" s="24">
        <v>409200</v>
      </c>
      <c r="G594" s="95" t="s">
        <v>903</v>
      </c>
    </row>
    <row r="595" spans="1:7" ht="47.25">
      <c r="A595" s="19"/>
      <c r="B595" s="11" t="s">
        <v>565</v>
      </c>
      <c r="C595" s="4" t="s">
        <v>20</v>
      </c>
      <c r="D595" s="10">
        <v>44.8</v>
      </c>
      <c r="E595" s="24">
        <v>821000</v>
      </c>
      <c r="F595" s="25">
        <v>36780800</v>
      </c>
      <c r="G595" s="93"/>
    </row>
    <row r="596" spans="1:7" ht="31.5">
      <c r="A596" s="11"/>
      <c r="B596" s="12" t="s">
        <v>371</v>
      </c>
      <c r="C596" s="4" t="s">
        <v>20</v>
      </c>
      <c r="D596" s="9">
        <v>19.6</v>
      </c>
      <c r="E596" s="25">
        <v>498000</v>
      </c>
      <c r="F596" s="25">
        <v>9760800</v>
      </c>
      <c r="G596" s="93"/>
    </row>
    <row r="597" spans="1:7" ht="31.5">
      <c r="A597" s="19"/>
      <c r="B597" s="39" t="s">
        <v>388</v>
      </c>
      <c r="C597" s="4" t="s">
        <v>20</v>
      </c>
      <c r="D597" s="15">
        <v>4.42</v>
      </c>
      <c r="E597" s="24">
        <v>150000</v>
      </c>
      <c r="F597" s="25">
        <v>663000</v>
      </c>
      <c r="G597" s="103"/>
    </row>
    <row r="598" spans="1:7" ht="15.75">
      <c r="A598" s="11"/>
      <c r="B598" s="12" t="s">
        <v>41</v>
      </c>
      <c r="C598" s="4" t="s">
        <v>42</v>
      </c>
      <c r="D598" s="10">
        <v>1</v>
      </c>
      <c r="E598" s="25">
        <v>238000</v>
      </c>
      <c r="F598" s="25">
        <v>238000</v>
      </c>
      <c r="G598" s="93"/>
    </row>
    <row r="599" spans="1:7" ht="31.5">
      <c r="A599" s="11"/>
      <c r="B599" s="12" t="s">
        <v>882</v>
      </c>
      <c r="C599" s="8" t="s">
        <v>210</v>
      </c>
      <c r="D599" s="10">
        <v>25</v>
      </c>
      <c r="E599" s="125">
        <v>13640</v>
      </c>
      <c r="F599" s="25">
        <v>341000</v>
      </c>
      <c r="G599" s="95" t="s">
        <v>903</v>
      </c>
    </row>
    <row r="600" spans="1:7" ht="63">
      <c r="A600" s="17"/>
      <c r="B600" s="52" t="s">
        <v>390</v>
      </c>
      <c r="C600" s="4" t="s">
        <v>20</v>
      </c>
      <c r="D600" s="10">
        <v>19.25</v>
      </c>
      <c r="E600" s="138">
        <v>498000</v>
      </c>
      <c r="F600" s="25">
        <v>9586500</v>
      </c>
      <c r="G600" s="93"/>
    </row>
    <row r="601" spans="1:7" ht="18.75">
      <c r="A601" s="11"/>
      <c r="B601" s="12" t="s">
        <v>115</v>
      </c>
      <c r="C601" s="4" t="s">
        <v>20</v>
      </c>
      <c r="D601" s="9">
        <v>9.15</v>
      </c>
      <c r="E601" s="25">
        <v>240000</v>
      </c>
      <c r="F601" s="25">
        <v>2196000</v>
      </c>
      <c r="G601" s="93"/>
    </row>
    <row r="602" spans="1:7" ht="47.25">
      <c r="A602" s="17"/>
      <c r="B602" s="13" t="s">
        <v>391</v>
      </c>
      <c r="C602" s="4" t="s">
        <v>20</v>
      </c>
      <c r="D602" s="9">
        <v>10</v>
      </c>
      <c r="E602" s="25">
        <v>498000</v>
      </c>
      <c r="F602" s="25">
        <v>4980000</v>
      </c>
      <c r="G602" s="93"/>
    </row>
    <row r="603" spans="1:7" ht="18.75">
      <c r="A603" s="17"/>
      <c r="B603" s="13" t="s">
        <v>25</v>
      </c>
      <c r="C603" s="4" t="s">
        <v>20</v>
      </c>
      <c r="D603" s="9">
        <v>1.3900000000000001</v>
      </c>
      <c r="E603" s="25">
        <v>1250000</v>
      </c>
      <c r="F603" s="25">
        <v>1737500.0000000002</v>
      </c>
      <c r="G603" s="93"/>
    </row>
    <row r="604" spans="1:7" ht="18.75">
      <c r="A604" s="17"/>
      <c r="B604" s="13" t="s">
        <v>26</v>
      </c>
      <c r="C604" s="4" t="s">
        <v>20</v>
      </c>
      <c r="D604" s="9">
        <v>110.3</v>
      </c>
      <c r="E604" s="25">
        <v>82000</v>
      </c>
      <c r="F604" s="25">
        <v>9044600</v>
      </c>
      <c r="G604" s="93"/>
    </row>
    <row r="605" spans="1:7" ht="31.5">
      <c r="A605" s="17"/>
      <c r="B605" s="29" t="s">
        <v>501</v>
      </c>
      <c r="C605" s="4" t="s">
        <v>32</v>
      </c>
      <c r="D605" s="9">
        <v>14.3</v>
      </c>
      <c r="E605" s="25">
        <v>1335000</v>
      </c>
      <c r="F605" s="25">
        <v>19090500</v>
      </c>
      <c r="G605" s="93"/>
    </row>
    <row r="606" spans="1:7" ht="15.75">
      <c r="A606" s="17"/>
      <c r="B606" s="13" t="s">
        <v>148</v>
      </c>
      <c r="C606" s="4" t="s">
        <v>42</v>
      </c>
      <c r="D606" s="9">
        <v>3</v>
      </c>
      <c r="E606" s="25">
        <v>57000</v>
      </c>
      <c r="F606" s="25">
        <v>171000</v>
      </c>
      <c r="G606" s="94" t="s">
        <v>187</v>
      </c>
    </row>
    <row r="607" spans="1:7" ht="63">
      <c r="A607" s="17"/>
      <c r="B607" s="29" t="s">
        <v>392</v>
      </c>
      <c r="C607" s="37" t="s">
        <v>20</v>
      </c>
      <c r="D607" s="50">
        <v>5</v>
      </c>
      <c r="E607" s="136">
        <v>3920000</v>
      </c>
      <c r="F607" s="25">
        <v>19600000</v>
      </c>
      <c r="G607" s="93"/>
    </row>
    <row r="608" spans="1:7" ht="31.5">
      <c r="A608" s="17"/>
      <c r="B608" s="13" t="s">
        <v>886</v>
      </c>
      <c r="C608" s="8" t="s">
        <v>210</v>
      </c>
      <c r="D608" s="9">
        <v>120</v>
      </c>
      <c r="E608" s="125">
        <v>9680</v>
      </c>
      <c r="F608" s="25">
        <v>1161600</v>
      </c>
      <c r="G608" s="95" t="s">
        <v>903</v>
      </c>
    </row>
    <row r="609" spans="1:7" ht="94.5">
      <c r="A609" s="17"/>
      <c r="B609" s="11" t="s">
        <v>397</v>
      </c>
      <c r="C609" s="4" t="s">
        <v>20</v>
      </c>
      <c r="D609" s="10">
        <v>81.2</v>
      </c>
      <c r="E609" s="24">
        <v>3230000</v>
      </c>
      <c r="F609" s="25">
        <v>262276000</v>
      </c>
      <c r="G609" s="93"/>
    </row>
    <row r="610" spans="1:7" ht="47.25">
      <c r="A610" s="11"/>
      <c r="B610" s="12" t="s">
        <v>496</v>
      </c>
      <c r="C610" s="4" t="s">
        <v>20</v>
      </c>
      <c r="D610" s="9">
        <v>4</v>
      </c>
      <c r="E610" s="25">
        <v>150000</v>
      </c>
      <c r="F610" s="25">
        <v>600000</v>
      </c>
      <c r="G610" s="94" t="s">
        <v>912</v>
      </c>
    </row>
    <row r="611" spans="1:7" ht="31.5">
      <c r="A611" s="17"/>
      <c r="B611" s="13" t="s">
        <v>911</v>
      </c>
      <c r="C611" s="4" t="s">
        <v>20</v>
      </c>
      <c r="D611" s="9">
        <v>16</v>
      </c>
      <c r="E611" s="25">
        <v>125000</v>
      </c>
      <c r="F611" s="25">
        <v>2000000</v>
      </c>
      <c r="G611" s="94" t="s">
        <v>901</v>
      </c>
    </row>
    <row r="612" spans="1:7" ht="18.75">
      <c r="A612" s="17"/>
      <c r="B612" s="29" t="s">
        <v>25</v>
      </c>
      <c r="C612" s="4" t="s">
        <v>32</v>
      </c>
      <c r="D612" s="50">
        <v>0.135</v>
      </c>
      <c r="E612" s="25">
        <v>1250000</v>
      </c>
      <c r="F612" s="25">
        <v>168750</v>
      </c>
      <c r="G612" s="93"/>
    </row>
    <row r="613" spans="1:7" ht="18.75">
      <c r="A613" s="17"/>
      <c r="B613" s="29" t="s">
        <v>26</v>
      </c>
      <c r="C613" s="4" t="s">
        <v>20</v>
      </c>
      <c r="D613" s="50">
        <v>1.7999999999999998</v>
      </c>
      <c r="E613" s="25">
        <v>82000</v>
      </c>
      <c r="F613" s="25">
        <v>147599.99999999997</v>
      </c>
      <c r="G613" s="93"/>
    </row>
    <row r="614" spans="1:7" ht="15.75">
      <c r="A614" s="17"/>
      <c r="B614" s="13" t="s">
        <v>399</v>
      </c>
      <c r="C614" s="2" t="s">
        <v>42</v>
      </c>
      <c r="D614" s="9">
        <v>1</v>
      </c>
      <c r="E614" s="25">
        <v>238000</v>
      </c>
      <c r="F614" s="25">
        <v>238000</v>
      </c>
      <c r="G614" s="93"/>
    </row>
    <row r="615" spans="1:7" ht="31.5">
      <c r="A615" s="11"/>
      <c r="B615" s="13" t="s">
        <v>836</v>
      </c>
      <c r="C615" s="8" t="s">
        <v>210</v>
      </c>
      <c r="D615" s="10">
        <v>30</v>
      </c>
      <c r="E615" s="125">
        <v>13640</v>
      </c>
      <c r="F615" s="25">
        <v>409200</v>
      </c>
      <c r="G615" s="95" t="s">
        <v>903</v>
      </c>
    </row>
    <row r="616" spans="1:7" ht="78.75">
      <c r="A616" s="17"/>
      <c r="B616" s="11" t="s">
        <v>401</v>
      </c>
      <c r="C616" s="4" t="s">
        <v>20</v>
      </c>
      <c r="D616" s="10">
        <v>23.2</v>
      </c>
      <c r="E616" s="24">
        <v>2810100</v>
      </c>
      <c r="F616" s="25">
        <v>65194320</v>
      </c>
      <c r="G616" s="94" t="s">
        <v>485</v>
      </c>
    </row>
    <row r="617" spans="1:7" ht="78.75">
      <c r="A617" s="11"/>
      <c r="B617" s="12" t="s">
        <v>480</v>
      </c>
      <c r="C617" s="4" t="s">
        <v>20</v>
      </c>
      <c r="D617" s="9">
        <v>12.4</v>
      </c>
      <c r="E617" s="25">
        <v>2272500</v>
      </c>
      <c r="F617" s="25">
        <v>28179000</v>
      </c>
      <c r="G617" s="94" t="s">
        <v>772</v>
      </c>
    </row>
    <row r="618" spans="1:7" ht="47.25">
      <c r="A618" s="17"/>
      <c r="B618" s="13" t="s">
        <v>403</v>
      </c>
      <c r="C618" s="4" t="s">
        <v>20</v>
      </c>
      <c r="D618" s="9">
        <v>7.2</v>
      </c>
      <c r="E618" s="25">
        <v>498000</v>
      </c>
      <c r="F618" s="25">
        <v>3585600</v>
      </c>
      <c r="G618" s="93"/>
    </row>
    <row r="619" spans="1:7" ht="31.5">
      <c r="A619" s="17"/>
      <c r="B619" s="13" t="s">
        <v>404</v>
      </c>
      <c r="C619" s="4" t="s">
        <v>20</v>
      </c>
      <c r="D619" s="9">
        <v>7.2</v>
      </c>
      <c r="E619" s="25">
        <v>736000</v>
      </c>
      <c r="F619" s="25">
        <v>5299200</v>
      </c>
      <c r="G619" s="93"/>
    </row>
    <row r="620" spans="1:7" ht="47.25">
      <c r="A620" s="17"/>
      <c r="B620" s="13" t="s">
        <v>497</v>
      </c>
      <c r="C620" s="4" t="s">
        <v>20</v>
      </c>
      <c r="D620" s="9">
        <v>16</v>
      </c>
      <c r="E620" s="25">
        <v>199200</v>
      </c>
      <c r="F620" s="25">
        <v>3187200</v>
      </c>
      <c r="G620" s="94" t="s">
        <v>902</v>
      </c>
    </row>
    <row r="621" spans="1:7" ht="31.5">
      <c r="A621" s="17"/>
      <c r="B621" s="13" t="s">
        <v>913</v>
      </c>
      <c r="C621" s="4" t="s">
        <v>20</v>
      </c>
      <c r="D621" s="9">
        <v>22.599999999999998</v>
      </c>
      <c r="E621" s="25">
        <v>50000</v>
      </c>
      <c r="F621" s="25">
        <v>1130000</v>
      </c>
      <c r="G621" s="94" t="s">
        <v>901</v>
      </c>
    </row>
    <row r="622" spans="1:7" ht="63">
      <c r="A622" s="17"/>
      <c r="B622" s="13" t="s">
        <v>405</v>
      </c>
      <c r="C622" s="4" t="s">
        <v>20</v>
      </c>
      <c r="D622" s="9">
        <v>4.941</v>
      </c>
      <c r="E622" s="25">
        <v>2450000</v>
      </c>
      <c r="F622" s="25">
        <v>12105450</v>
      </c>
      <c r="G622" s="93"/>
    </row>
    <row r="623" spans="1:7" ht="78.75">
      <c r="A623" s="17"/>
      <c r="B623" s="29" t="s">
        <v>506</v>
      </c>
      <c r="C623" s="4" t="s">
        <v>20</v>
      </c>
      <c r="D623" s="9">
        <v>8.734000000000002</v>
      </c>
      <c r="E623" s="25">
        <v>2610000</v>
      </c>
      <c r="F623" s="25">
        <v>22795740.000000004</v>
      </c>
      <c r="G623" s="94" t="s">
        <v>751</v>
      </c>
    </row>
    <row r="624" spans="1:7" ht="34.5">
      <c r="A624" s="17"/>
      <c r="B624" s="29" t="s">
        <v>505</v>
      </c>
      <c r="C624" s="53" t="s">
        <v>492</v>
      </c>
      <c r="D624" s="9">
        <v>13.848</v>
      </c>
      <c r="E624" s="25">
        <v>240000</v>
      </c>
      <c r="F624" s="25">
        <v>3323520</v>
      </c>
      <c r="G624" s="93"/>
    </row>
    <row r="625" spans="1:7" ht="15.75">
      <c r="A625" s="17"/>
      <c r="B625" s="13" t="s">
        <v>41</v>
      </c>
      <c r="C625" s="2" t="s">
        <v>42</v>
      </c>
      <c r="D625" s="9">
        <v>1</v>
      </c>
      <c r="E625" s="25">
        <v>238000</v>
      </c>
      <c r="F625" s="25">
        <v>238000</v>
      </c>
      <c r="G625" s="93"/>
    </row>
    <row r="626" spans="1:7" ht="31.5">
      <c r="A626" s="17"/>
      <c r="B626" s="13" t="s">
        <v>873</v>
      </c>
      <c r="C626" s="8" t="s">
        <v>210</v>
      </c>
      <c r="D626" s="9">
        <v>15</v>
      </c>
      <c r="E626" s="125">
        <v>9680</v>
      </c>
      <c r="F626" s="25">
        <v>145200</v>
      </c>
      <c r="G626" s="95" t="s">
        <v>903</v>
      </c>
    </row>
    <row r="627" spans="1:7" ht="63">
      <c r="A627" s="17"/>
      <c r="B627" s="11" t="s">
        <v>408</v>
      </c>
      <c r="C627" s="4" t="s">
        <v>20</v>
      </c>
      <c r="D627" s="10">
        <v>48.8</v>
      </c>
      <c r="E627" s="24">
        <v>3230000</v>
      </c>
      <c r="F627" s="25">
        <v>157624000</v>
      </c>
      <c r="G627" s="93"/>
    </row>
    <row r="628" spans="1:7" ht="18.75">
      <c r="A628" s="11"/>
      <c r="B628" s="12" t="s">
        <v>166</v>
      </c>
      <c r="C628" s="4" t="s">
        <v>20</v>
      </c>
      <c r="D628" s="9">
        <v>48.8</v>
      </c>
      <c r="E628" s="136">
        <v>230000</v>
      </c>
      <c r="F628" s="25">
        <v>11224000</v>
      </c>
      <c r="G628" s="93"/>
    </row>
    <row r="629" spans="1:7" ht="78.75">
      <c r="A629" s="17"/>
      <c r="B629" s="13" t="s">
        <v>410</v>
      </c>
      <c r="C629" s="4" t="s">
        <v>20</v>
      </c>
      <c r="D629" s="9">
        <v>32</v>
      </c>
      <c r="E629" s="25">
        <v>2821600</v>
      </c>
      <c r="F629" s="25">
        <v>90291200</v>
      </c>
      <c r="G629" s="94" t="s">
        <v>773</v>
      </c>
    </row>
    <row r="630" spans="1:7" ht="47.25">
      <c r="A630" s="17"/>
      <c r="B630" s="13" t="s">
        <v>478</v>
      </c>
      <c r="C630" s="4" t="s">
        <v>20</v>
      </c>
      <c r="D630" s="9">
        <v>18.4</v>
      </c>
      <c r="E630" s="25">
        <f>498000*40%</f>
        <v>199200</v>
      </c>
      <c r="F630" s="25">
        <f>D630*E630</f>
        <v>3665279.9999999995</v>
      </c>
      <c r="G630" s="93"/>
    </row>
    <row r="631" spans="1:7" ht="15.75">
      <c r="A631" s="17"/>
      <c r="B631" s="13" t="s">
        <v>41</v>
      </c>
      <c r="C631" s="2" t="s">
        <v>42</v>
      </c>
      <c r="D631" s="9">
        <v>1</v>
      </c>
      <c r="E631" s="25">
        <v>238000</v>
      </c>
      <c r="F631" s="25">
        <v>238000</v>
      </c>
      <c r="G631" s="93"/>
    </row>
    <row r="632" spans="1:7" ht="31.5">
      <c r="A632" s="17"/>
      <c r="B632" s="13" t="s">
        <v>836</v>
      </c>
      <c r="C632" s="8" t="s">
        <v>210</v>
      </c>
      <c r="D632" s="9">
        <v>30</v>
      </c>
      <c r="E632" s="125">
        <v>13640</v>
      </c>
      <c r="F632" s="24">
        <v>409200</v>
      </c>
      <c r="G632" s="95" t="s">
        <v>903</v>
      </c>
    </row>
    <row r="633" spans="1:7" ht="63">
      <c r="A633" s="17"/>
      <c r="B633" s="11" t="s">
        <v>414</v>
      </c>
      <c r="C633" s="4" t="s">
        <v>20</v>
      </c>
      <c r="D633" s="10">
        <v>50.4</v>
      </c>
      <c r="E633" s="24">
        <v>2811600</v>
      </c>
      <c r="F633" s="24">
        <v>141704640</v>
      </c>
      <c r="G633" s="94" t="s">
        <v>774</v>
      </c>
    </row>
    <row r="634" spans="1:7" ht="31.5">
      <c r="A634" s="11"/>
      <c r="B634" s="13" t="s">
        <v>479</v>
      </c>
      <c r="C634" s="4" t="s">
        <v>20</v>
      </c>
      <c r="D634" s="7">
        <v>27.6</v>
      </c>
      <c r="E634" s="25">
        <v>736000</v>
      </c>
      <c r="F634" s="24">
        <v>20313600</v>
      </c>
      <c r="G634" s="90"/>
    </row>
    <row r="635" spans="1:7" ht="18.75">
      <c r="A635" s="17"/>
      <c r="B635" s="13" t="s">
        <v>575</v>
      </c>
      <c r="C635" s="4" t="s">
        <v>20</v>
      </c>
      <c r="D635" s="9">
        <v>31.2</v>
      </c>
      <c r="E635" s="25">
        <v>50000</v>
      </c>
      <c r="F635" s="24">
        <v>1560000</v>
      </c>
      <c r="G635" s="95" t="s">
        <v>901</v>
      </c>
    </row>
    <row r="636" spans="1:7" ht="31.5">
      <c r="A636" s="17"/>
      <c r="B636" s="29" t="s">
        <v>576</v>
      </c>
      <c r="C636" s="4" t="s">
        <v>20</v>
      </c>
      <c r="D636" s="9">
        <v>5.6</v>
      </c>
      <c r="E636" s="25">
        <v>736000</v>
      </c>
      <c r="F636" s="24">
        <v>4121599.9999999995</v>
      </c>
      <c r="G636" s="90"/>
    </row>
    <row r="637" spans="1:7" ht="15.75">
      <c r="A637" s="17"/>
      <c r="B637" s="13" t="s">
        <v>41</v>
      </c>
      <c r="C637" s="2" t="s">
        <v>42</v>
      </c>
      <c r="D637" s="9">
        <v>1</v>
      </c>
      <c r="E637" s="25">
        <v>238000</v>
      </c>
      <c r="F637" s="24">
        <v>238000</v>
      </c>
      <c r="G637" s="90"/>
    </row>
    <row r="638" spans="1:7" ht="31.5">
      <c r="A638" s="17"/>
      <c r="B638" s="13" t="s">
        <v>836</v>
      </c>
      <c r="C638" s="8" t="s">
        <v>210</v>
      </c>
      <c r="D638" s="9">
        <v>30</v>
      </c>
      <c r="E638" s="125">
        <v>13640</v>
      </c>
      <c r="F638" s="31">
        <v>409200</v>
      </c>
      <c r="G638" s="95" t="s">
        <v>903</v>
      </c>
    </row>
    <row r="639" spans="1:7" ht="18.75">
      <c r="A639" s="11"/>
      <c r="B639" s="13" t="s">
        <v>25</v>
      </c>
      <c r="C639" s="4" t="s">
        <v>32</v>
      </c>
      <c r="D639" s="7">
        <v>7.3500000000000005</v>
      </c>
      <c r="E639" s="25">
        <v>1250000</v>
      </c>
      <c r="F639" s="25">
        <v>9187500</v>
      </c>
      <c r="G639" s="90"/>
    </row>
    <row r="640" spans="1:7" ht="18.75">
      <c r="A640" s="19"/>
      <c r="B640" s="11" t="s">
        <v>26</v>
      </c>
      <c r="C640" s="4" t="s">
        <v>20</v>
      </c>
      <c r="D640" s="10">
        <v>147</v>
      </c>
      <c r="E640" s="25">
        <v>82000</v>
      </c>
      <c r="F640" s="25">
        <v>12054000</v>
      </c>
      <c r="G640" s="93"/>
    </row>
    <row r="641" spans="1:7" ht="31.5">
      <c r="A641" s="11"/>
      <c r="B641" s="12" t="s">
        <v>35</v>
      </c>
      <c r="C641" s="4" t="s">
        <v>20</v>
      </c>
      <c r="D641" s="9">
        <v>19.59</v>
      </c>
      <c r="E641" s="25">
        <v>325000</v>
      </c>
      <c r="F641" s="25">
        <v>6366750</v>
      </c>
      <c r="G641" s="93"/>
    </row>
    <row r="642" spans="1:7" ht="110.25">
      <c r="A642" s="17"/>
      <c r="B642" s="11" t="s">
        <v>420</v>
      </c>
      <c r="C642" s="4" t="s">
        <v>20</v>
      </c>
      <c r="D642" s="10">
        <v>43.68000000000001</v>
      </c>
      <c r="E642" s="24">
        <v>3230000</v>
      </c>
      <c r="F642" s="25">
        <v>141086400.00000003</v>
      </c>
      <c r="G642" s="94" t="s">
        <v>486</v>
      </c>
    </row>
    <row r="643" spans="1:7" ht="31.5">
      <c r="A643" s="11"/>
      <c r="B643" s="12" t="s">
        <v>421</v>
      </c>
      <c r="C643" s="4" t="s">
        <v>20</v>
      </c>
      <c r="D643" s="9">
        <v>4.83</v>
      </c>
      <c r="E643" s="25">
        <v>326000</v>
      </c>
      <c r="F643" s="25">
        <v>1574580</v>
      </c>
      <c r="G643" s="93"/>
    </row>
    <row r="644" spans="1:7" ht="110.25">
      <c r="A644" s="17"/>
      <c r="B644" s="29" t="s">
        <v>422</v>
      </c>
      <c r="C644" s="4" t="s">
        <v>20</v>
      </c>
      <c r="D644" s="9">
        <v>6.4399999999999995</v>
      </c>
      <c r="E644" s="25">
        <v>3535000</v>
      </c>
      <c r="F644" s="25">
        <v>22765400</v>
      </c>
      <c r="G644" s="94" t="s">
        <v>775</v>
      </c>
    </row>
    <row r="645" spans="1:7" ht="15.75">
      <c r="A645" s="17"/>
      <c r="B645" s="13" t="s">
        <v>489</v>
      </c>
      <c r="C645" s="4" t="s">
        <v>373</v>
      </c>
      <c r="D645" s="9">
        <v>1</v>
      </c>
      <c r="E645" s="25">
        <v>820000</v>
      </c>
      <c r="F645" s="25">
        <v>820000</v>
      </c>
      <c r="G645" s="94" t="s">
        <v>187</v>
      </c>
    </row>
    <row r="646" spans="1:7" ht="18.75">
      <c r="A646" s="17"/>
      <c r="B646" s="13" t="s">
        <v>36</v>
      </c>
      <c r="C646" s="4" t="s">
        <v>20</v>
      </c>
      <c r="D646" s="9">
        <v>248.13</v>
      </c>
      <c r="E646" s="25">
        <v>125000</v>
      </c>
      <c r="F646" s="25">
        <v>31016250</v>
      </c>
      <c r="G646" s="93"/>
    </row>
    <row r="647" spans="1:7" ht="18.75">
      <c r="A647" s="17"/>
      <c r="B647" s="13" t="s">
        <v>25</v>
      </c>
      <c r="C647" s="4" t="s">
        <v>32</v>
      </c>
      <c r="D647" s="9">
        <v>12.995999999999999</v>
      </c>
      <c r="E647" s="25">
        <v>1250000</v>
      </c>
      <c r="F647" s="25">
        <v>16244999.999999998</v>
      </c>
      <c r="G647" s="93"/>
    </row>
    <row r="648" spans="1:7" ht="18.75">
      <c r="A648" s="17"/>
      <c r="B648" s="13" t="s">
        <v>116</v>
      </c>
      <c r="C648" s="4" t="s">
        <v>20</v>
      </c>
      <c r="D648" s="9">
        <v>24.18</v>
      </c>
      <c r="E648" s="25">
        <v>125000</v>
      </c>
      <c r="F648" s="25">
        <v>3022500</v>
      </c>
      <c r="G648" s="93"/>
    </row>
    <row r="649" spans="1:7" ht="31.5">
      <c r="A649" s="17"/>
      <c r="B649" s="13" t="s">
        <v>423</v>
      </c>
      <c r="C649" s="4" t="s">
        <v>20</v>
      </c>
      <c r="D649" s="9">
        <v>1.7600000000000002</v>
      </c>
      <c r="E649" s="25">
        <v>410000</v>
      </c>
      <c r="F649" s="25">
        <v>721600.0000000001</v>
      </c>
      <c r="G649" s="93"/>
    </row>
    <row r="650" spans="1:7" ht="63">
      <c r="A650" s="17"/>
      <c r="B650" s="29" t="s">
        <v>424</v>
      </c>
      <c r="C650" s="4" t="s">
        <v>20</v>
      </c>
      <c r="D650" s="9">
        <v>6</v>
      </c>
      <c r="E650" s="25">
        <v>695000</v>
      </c>
      <c r="F650" s="25">
        <v>4170000</v>
      </c>
      <c r="G650" s="93"/>
    </row>
    <row r="651" spans="1:7" ht="47.25">
      <c r="A651" s="17"/>
      <c r="B651" s="29" t="s">
        <v>493</v>
      </c>
      <c r="C651" s="53" t="s">
        <v>492</v>
      </c>
      <c r="D651" s="9">
        <v>28.5</v>
      </c>
      <c r="E651" s="25">
        <v>160000</v>
      </c>
      <c r="F651" s="25">
        <v>4560000</v>
      </c>
      <c r="G651" s="93"/>
    </row>
    <row r="652" spans="1:7" ht="31.5">
      <c r="A652" s="17"/>
      <c r="B652" s="13" t="s">
        <v>39</v>
      </c>
      <c r="C652" s="4" t="s">
        <v>20</v>
      </c>
      <c r="D652" s="9">
        <v>256.68000000000006</v>
      </c>
      <c r="E652" s="25">
        <v>110000</v>
      </c>
      <c r="F652" s="25">
        <v>28234800.000000007</v>
      </c>
      <c r="G652" s="93"/>
    </row>
    <row r="653" spans="1:7" ht="31.5">
      <c r="A653" s="17"/>
      <c r="B653" s="13" t="s">
        <v>35</v>
      </c>
      <c r="C653" s="4" t="s">
        <v>20</v>
      </c>
      <c r="D653" s="9">
        <v>20</v>
      </c>
      <c r="E653" s="25">
        <v>325000</v>
      </c>
      <c r="F653" s="25">
        <v>6500000</v>
      </c>
      <c r="G653" s="93"/>
    </row>
    <row r="654" spans="1:7" ht="31.5">
      <c r="A654" s="17"/>
      <c r="B654" s="13" t="s">
        <v>836</v>
      </c>
      <c r="C654" s="8" t="s">
        <v>210</v>
      </c>
      <c r="D654" s="9">
        <v>15</v>
      </c>
      <c r="E654" s="125">
        <v>13640</v>
      </c>
      <c r="F654" s="24">
        <v>204600</v>
      </c>
      <c r="G654" s="95" t="s">
        <v>903</v>
      </c>
    </row>
    <row r="655" spans="1:7" ht="31.5">
      <c r="A655" s="17"/>
      <c r="B655" s="13" t="s">
        <v>873</v>
      </c>
      <c r="C655" s="8" t="s">
        <v>210</v>
      </c>
      <c r="D655" s="9">
        <v>20</v>
      </c>
      <c r="E655" s="125">
        <v>9680</v>
      </c>
      <c r="F655" s="24">
        <v>193600</v>
      </c>
      <c r="G655" s="95" t="s">
        <v>903</v>
      </c>
    </row>
    <row r="656" spans="1:7" ht="63">
      <c r="A656" s="16"/>
      <c r="B656" s="13" t="s">
        <v>433</v>
      </c>
      <c r="C656" s="4" t="s">
        <v>20</v>
      </c>
      <c r="D656" s="7">
        <v>40</v>
      </c>
      <c r="E656" s="129">
        <v>821000</v>
      </c>
      <c r="F656" s="25">
        <v>32840000</v>
      </c>
      <c r="G656" s="90" t="s">
        <v>989</v>
      </c>
    </row>
    <row r="657" spans="1:7" ht="47.25">
      <c r="A657" s="11"/>
      <c r="B657" s="11" t="s">
        <v>498</v>
      </c>
      <c r="C657" s="4" t="s">
        <v>20</v>
      </c>
      <c r="D657" s="10">
        <v>20.4</v>
      </c>
      <c r="E657" s="24">
        <v>199200</v>
      </c>
      <c r="F657" s="25">
        <v>4063679.9999999995</v>
      </c>
      <c r="G657" s="93" t="s">
        <v>914</v>
      </c>
    </row>
    <row r="658" spans="1:7" ht="31.5">
      <c r="A658" s="17"/>
      <c r="B658" s="23" t="s">
        <v>434</v>
      </c>
      <c r="C658" s="4" t="s">
        <v>20</v>
      </c>
      <c r="D658" s="9">
        <v>17.2</v>
      </c>
      <c r="E658" s="136">
        <v>821000</v>
      </c>
      <c r="F658" s="25">
        <v>14121200</v>
      </c>
      <c r="G658" s="40"/>
    </row>
    <row r="659" spans="1:7" ht="126">
      <c r="A659" s="17"/>
      <c r="B659" s="13" t="s">
        <v>915</v>
      </c>
      <c r="C659" s="4" t="s">
        <v>20</v>
      </c>
      <c r="D659" s="65">
        <v>98.88400000000001</v>
      </c>
      <c r="E659" s="25">
        <v>1292000</v>
      </c>
      <c r="F659" s="24">
        <v>127758128.00000001</v>
      </c>
      <c r="G659" s="177" t="s">
        <v>900</v>
      </c>
    </row>
    <row r="660" spans="1:7" ht="60">
      <c r="A660" s="11"/>
      <c r="B660" s="13" t="s">
        <v>444</v>
      </c>
      <c r="C660" s="4" t="s">
        <v>20</v>
      </c>
      <c r="D660" s="7">
        <v>12.57</v>
      </c>
      <c r="E660" s="25">
        <f>150000*40%</f>
        <v>60000</v>
      </c>
      <c r="F660" s="24">
        <f>D660*E660</f>
        <v>754200</v>
      </c>
      <c r="G660" s="90" t="s">
        <v>1151</v>
      </c>
    </row>
    <row r="661" spans="1:7" ht="47.25">
      <c r="A661" s="17"/>
      <c r="B661" s="13" t="s">
        <v>446</v>
      </c>
      <c r="C661" s="4" t="s">
        <v>20</v>
      </c>
      <c r="D661" s="9">
        <v>8.38</v>
      </c>
      <c r="E661" s="25">
        <f>498000*40%</f>
        <v>199200</v>
      </c>
      <c r="F661" s="24">
        <f>D661*E661</f>
        <v>1669296.0000000002</v>
      </c>
      <c r="G661" s="90" t="s">
        <v>1149</v>
      </c>
    </row>
    <row r="662" spans="1:7" ht="30">
      <c r="A662" s="11"/>
      <c r="B662" s="12" t="s">
        <v>447</v>
      </c>
      <c r="C662" s="4" t="s">
        <v>20</v>
      </c>
      <c r="D662" s="9">
        <v>13.5</v>
      </c>
      <c r="E662" s="25">
        <f>85000*40%</f>
        <v>34000</v>
      </c>
      <c r="F662" s="31">
        <f>D662*E662</f>
        <v>459000</v>
      </c>
      <c r="G662" s="94" t="s">
        <v>1150</v>
      </c>
    </row>
    <row r="663" spans="1:7" ht="63">
      <c r="A663" s="17"/>
      <c r="B663" s="11" t="s">
        <v>451</v>
      </c>
      <c r="C663" s="4" t="s">
        <v>20</v>
      </c>
      <c r="D663" s="10">
        <v>114.92000000000002</v>
      </c>
      <c r="E663" s="24">
        <v>821000</v>
      </c>
      <c r="F663" s="25">
        <v>94349320.00000001</v>
      </c>
      <c r="G663" s="93"/>
    </row>
    <row r="664" spans="1:7" ht="47.25">
      <c r="A664" s="40"/>
      <c r="B664" s="12" t="s">
        <v>452</v>
      </c>
      <c r="C664" s="4" t="s">
        <v>20</v>
      </c>
      <c r="D664" s="9">
        <v>4.960000000000001</v>
      </c>
      <c r="E664" s="25">
        <v>2450000</v>
      </c>
      <c r="F664" s="25">
        <v>12152000.000000002</v>
      </c>
      <c r="G664" s="94"/>
    </row>
    <row r="665" spans="2:7" ht="18.75">
      <c r="B665" s="13" t="s">
        <v>36</v>
      </c>
      <c r="C665" s="4" t="s">
        <v>20</v>
      </c>
      <c r="D665" s="9">
        <v>11.735999999999999</v>
      </c>
      <c r="E665" s="25">
        <v>125000</v>
      </c>
      <c r="F665" s="25">
        <v>1466999.9999999998</v>
      </c>
      <c r="G665" s="93"/>
    </row>
    <row r="666" spans="1:7" ht="31.5">
      <c r="A666" s="11"/>
      <c r="B666" s="13" t="s">
        <v>47</v>
      </c>
      <c r="C666" s="4" t="s">
        <v>20</v>
      </c>
      <c r="D666" s="10">
        <v>17.16</v>
      </c>
      <c r="E666" s="25">
        <v>498000</v>
      </c>
      <c r="F666" s="25">
        <v>8545680</v>
      </c>
      <c r="G666" s="93"/>
    </row>
    <row r="667" spans="1:7" ht="31.5">
      <c r="A667" s="17"/>
      <c r="B667" s="11" t="s">
        <v>454</v>
      </c>
      <c r="C667" s="4" t="s">
        <v>20</v>
      </c>
      <c r="D667" s="10">
        <v>8</v>
      </c>
      <c r="E667" s="25">
        <v>110000</v>
      </c>
      <c r="F667" s="25">
        <v>880000</v>
      </c>
      <c r="G667" s="93"/>
    </row>
    <row r="668" spans="1:7" ht="94.5">
      <c r="A668" s="17"/>
      <c r="B668" s="11" t="s">
        <v>458</v>
      </c>
      <c r="C668" s="4" t="s">
        <v>20</v>
      </c>
      <c r="D668" s="10">
        <v>70.735</v>
      </c>
      <c r="E668" s="24">
        <v>2810100</v>
      </c>
      <c r="F668" s="25">
        <v>198772423.5</v>
      </c>
      <c r="G668" s="94" t="s">
        <v>577</v>
      </c>
    </row>
    <row r="669" spans="1:7" ht="63">
      <c r="A669" s="11"/>
      <c r="B669" s="28" t="s">
        <v>502</v>
      </c>
      <c r="C669" s="4" t="s">
        <v>20</v>
      </c>
      <c r="D669" s="38">
        <v>13.63</v>
      </c>
      <c r="E669" s="129">
        <v>821000</v>
      </c>
      <c r="F669" s="25">
        <v>11190230</v>
      </c>
      <c r="G669" s="93"/>
    </row>
    <row r="670" spans="1:7" ht="18.75">
      <c r="A670" s="17"/>
      <c r="B670" s="13" t="s">
        <v>28</v>
      </c>
      <c r="C670" s="4" t="s">
        <v>20</v>
      </c>
      <c r="D670" s="9">
        <v>4.620000000000001</v>
      </c>
      <c r="E670" s="25">
        <v>85000</v>
      </c>
      <c r="F670" s="25">
        <v>392700.00000000006</v>
      </c>
      <c r="G670" s="94" t="s">
        <v>187</v>
      </c>
    </row>
    <row r="671" spans="1:7" ht="18.75">
      <c r="A671" s="17"/>
      <c r="B671" s="13" t="s">
        <v>25</v>
      </c>
      <c r="C671" s="4" t="s">
        <v>32</v>
      </c>
      <c r="D671" s="9">
        <v>0.45999999999999996</v>
      </c>
      <c r="E671" s="25">
        <v>1250000</v>
      </c>
      <c r="F671" s="25">
        <v>575000</v>
      </c>
      <c r="G671" s="93"/>
    </row>
    <row r="672" spans="1:7" ht="18.75">
      <c r="A672" s="17"/>
      <c r="B672" s="13" t="s">
        <v>26</v>
      </c>
      <c r="C672" s="4" t="s">
        <v>20</v>
      </c>
      <c r="D672" s="9">
        <v>10.6</v>
      </c>
      <c r="E672" s="25">
        <v>82000</v>
      </c>
      <c r="F672" s="25">
        <v>869200</v>
      </c>
      <c r="G672" s="93"/>
    </row>
    <row r="673" spans="1:7" ht="31.5">
      <c r="A673" s="17"/>
      <c r="B673" s="13" t="s">
        <v>47</v>
      </c>
      <c r="C673" s="4" t="s">
        <v>20</v>
      </c>
      <c r="D673" s="9">
        <v>13</v>
      </c>
      <c r="E673" s="25">
        <v>498000</v>
      </c>
      <c r="F673" s="25">
        <v>6474000</v>
      </c>
      <c r="G673" s="93"/>
    </row>
    <row r="674" spans="1:7" ht="31.5">
      <c r="A674" s="17"/>
      <c r="B674" s="13" t="s">
        <v>120</v>
      </c>
      <c r="C674" s="4" t="s">
        <v>20</v>
      </c>
      <c r="D674" s="9">
        <v>17.02</v>
      </c>
      <c r="E674" s="25">
        <v>325000</v>
      </c>
      <c r="F674" s="25">
        <v>5531500</v>
      </c>
      <c r="G674" s="93"/>
    </row>
    <row r="675" spans="1:7" ht="31.5">
      <c r="A675" s="17"/>
      <c r="B675" s="13" t="s">
        <v>586</v>
      </c>
      <c r="C675" s="4" t="s">
        <v>20</v>
      </c>
      <c r="D675" s="9">
        <v>11.431</v>
      </c>
      <c r="E675" s="25">
        <v>325000</v>
      </c>
      <c r="F675" s="25">
        <v>3715074.9999999995</v>
      </c>
      <c r="G675" s="93"/>
    </row>
    <row r="676" spans="1:7" ht="18.75">
      <c r="A676" s="17"/>
      <c r="B676" s="13" t="s">
        <v>27</v>
      </c>
      <c r="C676" s="4" t="s">
        <v>32</v>
      </c>
      <c r="D676" s="9">
        <v>0.8999999999999999</v>
      </c>
      <c r="E676" s="25">
        <v>1854000</v>
      </c>
      <c r="F676" s="25">
        <v>1668599.9999999998</v>
      </c>
      <c r="G676" s="93"/>
    </row>
    <row r="677" spans="1:7" ht="31.5">
      <c r="A677" s="17"/>
      <c r="B677" s="13" t="s">
        <v>875</v>
      </c>
      <c r="C677" s="2" t="s">
        <v>210</v>
      </c>
      <c r="D677" s="9">
        <v>30</v>
      </c>
      <c r="E677" s="126"/>
      <c r="F677" s="25"/>
      <c r="G677" s="93"/>
    </row>
    <row r="678" spans="1:7" ht="18.75">
      <c r="A678" s="11"/>
      <c r="B678" s="12" t="s">
        <v>463</v>
      </c>
      <c r="C678" s="4" t="s">
        <v>32</v>
      </c>
      <c r="D678" s="10">
        <v>1.9200000000000004</v>
      </c>
      <c r="E678" s="25">
        <v>1854000</v>
      </c>
      <c r="F678" s="24">
        <v>3559680.0000000005</v>
      </c>
      <c r="G678" s="93"/>
    </row>
    <row r="679" spans="1:7" ht="18.75">
      <c r="A679" s="11"/>
      <c r="B679" s="59" t="s">
        <v>464</v>
      </c>
      <c r="C679" s="4" t="s">
        <v>20</v>
      </c>
      <c r="D679" s="10">
        <v>12.600000000000001</v>
      </c>
      <c r="E679" s="131">
        <v>1670000</v>
      </c>
      <c r="F679" s="24">
        <v>21042000.000000004</v>
      </c>
      <c r="G679" s="93"/>
    </row>
    <row r="680" spans="1:7" ht="94.5">
      <c r="A680" s="11"/>
      <c r="B680" s="12" t="s">
        <v>487</v>
      </c>
      <c r="C680" s="4" t="s">
        <v>20</v>
      </c>
      <c r="D680" s="10">
        <v>93.48</v>
      </c>
      <c r="E680" s="24">
        <v>3230000</v>
      </c>
      <c r="F680" s="24">
        <v>301940400</v>
      </c>
      <c r="G680" s="93"/>
    </row>
    <row r="681" spans="1:7" ht="31.5">
      <c r="A681" s="11"/>
      <c r="B681" s="12" t="s">
        <v>47</v>
      </c>
      <c r="C681" s="4" t="s">
        <v>20</v>
      </c>
      <c r="D681" s="10">
        <v>31.27</v>
      </c>
      <c r="E681" s="25">
        <v>498000</v>
      </c>
      <c r="F681" s="24">
        <v>15572460</v>
      </c>
      <c r="G681" s="93"/>
    </row>
    <row r="682" spans="1:7" ht="18.75">
      <c r="A682" s="11"/>
      <c r="B682" s="12" t="s">
        <v>69</v>
      </c>
      <c r="C682" s="4" t="s">
        <v>20</v>
      </c>
      <c r="D682" s="10">
        <v>13.25</v>
      </c>
      <c r="E682" s="25">
        <v>85000</v>
      </c>
      <c r="F682" s="24">
        <v>1126250</v>
      </c>
      <c r="G682" s="94" t="s">
        <v>187</v>
      </c>
    </row>
    <row r="683" spans="1:7" ht="15.75">
      <c r="A683" s="69"/>
      <c r="B683" s="48" t="s">
        <v>141</v>
      </c>
      <c r="C683" s="37" t="s">
        <v>189</v>
      </c>
      <c r="D683" s="60">
        <v>1</v>
      </c>
      <c r="E683" s="128">
        <v>5500000</v>
      </c>
      <c r="F683" s="130">
        <f>D683*E683</f>
        <v>5500000</v>
      </c>
      <c r="G683" s="97"/>
    </row>
    <row r="684" spans="1:7" ht="31.5">
      <c r="A684" s="69"/>
      <c r="B684" s="48" t="s">
        <v>882</v>
      </c>
      <c r="C684" s="64" t="s">
        <v>210</v>
      </c>
      <c r="D684" s="60">
        <v>30</v>
      </c>
      <c r="E684" s="125">
        <v>13640</v>
      </c>
      <c r="F684" s="155">
        <v>409200</v>
      </c>
      <c r="G684" s="95" t="s">
        <v>903</v>
      </c>
    </row>
    <row r="685" spans="1:7" ht="18.75">
      <c r="A685" s="11"/>
      <c r="B685" s="12" t="s">
        <v>36</v>
      </c>
      <c r="C685" s="4" t="s">
        <v>20</v>
      </c>
      <c r="D685" s="10">
        <v>213.36</v>
      </c>
      <c r="E685" s="25">
        <v>125000</v>
      </c>
      <c r="F685" s="24">
        <v>26670000</v>
      </c>
      <c r="G685" s="93"/>
    </row>
    <row r="686" spans="1:7" ht="18.75">
      <c r="A686" s="11"/>
      <c r="B686" s="12" t="s">
        <v>25</v>
      </c>
      <c r="C686" s="4" t="s">
        <v>32</v>
      </c>
      <c r="D686" s="10">
        <v>3.6</v>
      </c>
      <c r="E686" s="25">
        <v>1250000</v>
      </c>
      <c r="F686" s="24">
        <v>4500000</v>
      </c>
      <c r="G686" s="93"/>
    </row>
    <row r="687" spans="1:7" ht="18.75">
      <c r="A687" s="11"/>
      <c r="B687" s="12" t="s">
        <v>26</v>
      </c>
      <c r="C687" s="4" t="s">
        <v>20</v>
      </c>
      <c r="D687" s="10">
        <v>36</v>
      </c>
      <c r="E687" s="25">
        <v>82000</v>
      </c>
      <c r="F687" s="24">
        <v>2952000</v>
      </c>
      <c r="G687" s="93"/>
    </row>
    <row r="688" spans="1:7" ht="18.75">
      <c r="A688" s="51"/>
      <c r="B688" s="12" t="s">
        <v>69</v>
      </c>
      <c r="C688" s="4" t="s">
        <v>20</v>
      </c>
      <c r="D688" s="10">
        <v>17.8</v>
      </c>
      <c r="E688" s="25">
        <v>85000</v>
      </c>
      <c r="F688" s="24">
        <v>1513000</v>
      </c>
      <c r="G688" s="94" t="s">
        <v>187</v>
      </c>
    </row>
    <row r="689" spans="1:7" ht="81">
      <c r="A689" s="11"/>
      <c r="B689" s="13" t="s">
        <v>503</v>
      </c>
      <c r="C689" s="4" t="s">
        <v>20</v>
      </c>
      <c r="D689" s="22">
        <v>70.555</v>
      </c>
      <c r="E689" s="25">
        <v>821000</v>
      </c>
      <c r="F689" s="24">
        <v>57925655.00000001</v>
      </c>
      <c r="G689" s="100" t="s">
        <v>776</v>
      </c>
    </row>
    <row r="690" spans="1:7" ht="31.5">
      <c r="A690" s="63"/>
      <c r="B690" s="12" t="s">
        <v>47</v>
      </c>
      <c r="C690" s="4" t="s">
        <v>20</v>
      </c>
      <c r="D690" s="10">
        <v>13.7</v>
      </c>
      <c r="E690" s="25">
        <v>498000</v>
      </c>
      <c r="F690" s="24">
        <v>6822600</v>
      </c>
      <c r="G690" s="93"/>
    </row>
    <row r="691" spans="1:7" ht="18.75">
      <c r="A691" s="19"/>
      <c r="B691" s="33" t="s">
        <v>54</v>
      </c>
      <c r="C691" s="34" t="s">
        <v>20</v>
      </c>
      <c r="D691" s="35">
        <v>10.8</v>
      </c>
      <c r="E691" s="58">
        <v>85000</v>
      </c>
      <c r="F691" s="58">
        <v>918000.0000000001</v>
      </c>
      <c r="G691" s="107" t="s">
        <v>187</v>
      </c>
    </row>
    <row r="692" spans="1:7" ht="94.5">
      <c r="A692" s="11"/>
      <c r="B692" s="13" t="s">
        <v>467</v>
      </c>
      <c r="C692" s="4" t="s">
        <v>20</v>
      </c>
      <c r="D692" s="9">
        <v>110.5</v>
      </c>
      <c r="E692" s="129">
        <v>3230000</v>
      </c>
      <c r="F692" s="24">
        <v>356915000</v>
      </c>
      <c r="G692" s="94" t="s">
        <v>468</v>
      </c>
    </row>
    <row r="693" spans="1:7" ht="15.75">
      <c r="A693" s="11"/>
      <c r="B693" s="12" t="s">
        <v>838</v>
      </c>
      <c r="C693" s="8" t="s">
        <v>210</v>
      </c>
      <c r="D693" s="10">
        <v>80</v>
      </c>
      <c r="E693" s="24">
        <v>106810</v>
      </c>
      <c r="F693" s="24">
        <v>8544800</v>
      </c>
      <c r="G693" s="95" t="s">
        <v>903</v>
      </c>
    </row>
    <row r="694" spans="1:7" ht="15.75">
      <c r="A694" s="11"/>
      <c r="B694" s="12" t="s">
        <v>826</v>
      </c>
      <c r="C694" s="8" t="s">
        <v>210</v>
      </c>
      <c r="D694" s="10">
        <v>70</v>
      </c>
      <c r="E694" s="125">
        <v>9680</v>
      </c>
      <c r="F694" s="25">
        <v>677600</v>
      </c>
      <c r="G694" s="95" t="s">
        <v>903</v>
      </c>
    </row>
    <row r="695" spans="1:7" ht="15.75">
      <c r="A695" s="11"/>
      <c r="B695" s="12" t="s">
        <v>470</v>
      </c>
      <c r="C695" s="4" t="s">
        <v>31</v>
      </c>
      <c r="D695" s="10">
        <v>86</v>
      </c>
      <c r="E695" s="128"/>
      <c r="F695" s="24">
        <v>0</v>
      </c>
      <c r="G695" s="93"/>
    </row>
    <row r="696" spans="1:7" ht="15.75">
      <c r="A696" s="11"/>
      <c r="B696" s="12" t="s">
        <v>476</v>
      </c>
      <c r="C696" s="4" t="s">
        <v>42</v>
      </c>
      <c r="D696" s="10">
        <v>1</v>
      </c>
      <c r="E696" s="24">
        <v>4800000</v>
      </c>
      <c r="F696" s="24">
        <v>4800000</v>
      </c>
      <c r="G696" s="93"/>
    </row>
    <row r="697" spans="1:7" ht="31.5">
      <c r="A697" s="30"/>
      <c r="B697" s="48" t="s">
        <v>836</v>
      </c>
      <c r="C697" s="37" t="s">
        <v>210</v>
      </c>
      <c r="D697" s="60">
        <v>40</v>
      </c>
      <c r="E697" s="125">
        <v>13640</v>
      </c>
      <c r="F697" s="130">
        <v>545600</v>
      </c>
      <c r="G697" s="97"/>
    </row>
    <row r="698" spans="1:7" ht="31.5">
      <c r="A698" s="11"/>
      <c r="B698" s="12" t="s">
        <v>40</v>
      </c>
      <c r="C698" s="4" t="s">
        <v>20</v>
      </c>
      <c r="D698" s="10">
        <v>30</v>
      </c>
      <c r="E698" s="25">
        <v>498000</v>
      </c>
      <c r="F698" s="24">
        <v>14940000</v>
      </c>
      <c r="G698" s="93"/>
    </row>
    <row r="699" spans="1:7" ht="31.5">
      <c r="A699" s="11"/>
      <c r="B699" s="12" t="s">
        <v>280</v>
      </c>
      <c r="C699" s="4" t="s">
        <v>20</v>
      </c>
      <c r="D699" s="10">
        <v>40.300000000000004</v>
      </c>
      <c r="E699" s="24">
        <v>928000</v>
      </c>
      <c r="F699" s="24">
        <v>37398400.00000001</v>
      </c>
      <c r="G699" s="93"/>
    </row>
    <row r="700" spans="1:7" ht="18.75">
      <c r="A700" s="11"/>
      <c r="B700" s="12" t="s">
        <v>36</v>
      </c>
      <c r="C700" s="4" t="s">
        <v>20</v>
      </c>
      <c r="D700" s="10">
        <v>63.18000000000001</v>
      </c>
      <c r="E700" s="25">
        <v>125000</v>
      </c>
      <c r="F700" s="24">
        <v>7897500.000000001</v>
      </c>
      <c r="G700" s="93"/>
    </row>
    <row r="701" spans="1:7" ht="31.5">
      <c r="A701" s="11"/>
      <c r="B701" s="12" t="s">
        <v>21</v>
      </c>
      <c r="C701" s="4" t="s">
        <v>20</v>
      </c>
      <c r="D701" s="10">
        <v>68.4</v>
      </c>
      <c r="E701" s="24">
        <v>325000</v>
      </c>
      <c r="F701" s="24">
        <v>22230000</v>
      </c>
      <c r="G701" s="93"/>
    </row>
    <row r="702" spans="1:7" ht="18.75">
      <c r="A702" s="11"/>
      <c r="B702" s="12" t="s">
        <v>28</v>
      </c>
      <c r="C702" s="4" t="s">
        <v>20</v>
      </c>
      <c r="D702" s="10">
        <v>5.6</v>
      </c>
      <c r="E702" s="25">
        <v>85000</v>
      </c>
      <c r="F702" s="24">
        <v>475999.99999999994</v>
      </c>
      <c r="G702" s="94" t="s">
        <v>187</v>
      </c>
    </row>
    <row r="703" spans="1:7" ht="18.75">
      <c r="A703" s="11"/>
      <c r="B703" s="12" t="s">
        <v>27</v>
      </c>
      <c r="C703" s="4" t="s">
        <v>32</v>
      </c>
      <c r="D703" s="10">
        <v>1.5360000000000005</v>
      </c>
      <c r="E703" s="24">
        <v>1854000</v>
      </c>
      <c r="F703" s="24">
        <v>2847744.000000001</v>
      </c>
      <c r="G703" s="93"/>
    </row>
    <row r="704" spans="1:7" ht="31.5">
      <c r="A704" s="11"/>
      <c r="B704" s="12" t="s">
        <v>471</v>
      </c>
      <c r="C704" s="4" t="s">
        <v>20</v>
      </c>
      <c r="D704" s="10">
        <v>5.5</v>
      </c>
      <c r="E704" s="24">
        <v>736000</v>
      </c>
      <c r="F704" s="24">
        <v>4048000</v>
      </c>
      <c r="G704" s="93"/>
    </row>
    <row r="705" spans="1:7" ht="78.75">
      <c r="A705" s="11"/>
      <c r="B705" s="13" t="s">
        <v>731</v>
      </c>
      <c r="C705" s="4" t="s">
        <v>20</v>
      </c>
      <c r="D705" s="9">
        <v>42.300000000000004</v>
      </c>
      <c r="E705" s="25">
        <v>3230000</v>
      </c>
      <c r="F705" s="24">
        <v>136629000</v>
      </c>
      <c r="G705" s="93"/>
    </row>
    <row r="706" spans="1:7" ht="15.75">
      <c r="A706" s="11"/>
      <c r="B706" s="12" t="s">
        <v>141</v>
      </c>
      <c r="C706" s="4" t="s">
        <v>189</v>
      </c>
      <c r="D706" s="10">
        <v>1</v>
      </c>
      <c r="E706" s="24">
        <v>5500000</v>
      </c>
      <c r="F706" s="24">
        <v>5500000</v>
      </c>
      <c r="G706" s="93"/>
    </row>
    <row r="707" spans="1:7" ht="15.75">
      <c r="A707" s="11"/>
      <c r="B707" s="12" t="s">
        <v>590</v>
      </c>
      <c r="C707" s="4" t="s">
        <v>42</v>
      </c>
      <c r="D707" s="10">
        <v>1</v>
      </c>
      <c r="E707" s="24">
        <v>820000</v>
      </c>
      <c r="F707" s="24">
        <v>820000</v>
      </c>
      <c r="G707" s="94" t="s">
        <v>187</v>
      </c>
    </row>
    <row r="708" spans="1:7" ht="31.5">
      <c r="A708" s="11"/>
      <c r="B708" s="12" t="s">
        <v>591</v>
      </c>
      <c r="C708" s="4" t="s">
        <v>20</v>
      </c>
      <c r="D708" s="10">
        <v>31.540000000000003</v>
      </c>
      <c r="E708" s="24">
        <v>150000</v>
      </c>
      <c r="F708" s="24">
        <v>4731000</v>
      </c>
      <c r="G708" s="94" t="s">
        <v>187</v>
      </c>
    </row>
    <row r="709" spans="1:7" ht="18.75">
      <c r="A709" s="11"/>
      <c r="B709" s="12" t="s">
        <v>25</v>
      </c>
      <c r="C709" s="4" t="s">
        <v>32</v>
      </c>
      <c r="D709" s="10">
        <v>5.5600000000000005</v>
      </c>
      <c r="E709" s="24">
        <v>1250000</v>
      </c>
      <c r="F709" s="24">
        <v>6950000.000000001</v>
      </c>
      <c r="G709" s="93"/>
    </row>
    <row r="710" spans="1:7" ht="18.75">
      <c r="A710" s="11"/>
      <c r="B710" s="12" t="s">
        <v>26</v>
      </c>
      <c r="C710" s="4" t="s">
        <v>20</v>
      </c>
      <c r="D710" s="10">
        <v>53.9</v>
      </c>
      <c r="E710" s="25">
        <v>82000</v>
      </c>
      <c r="F710" s="24">
        <v>4419800</v>
      </c>
      <c r="G710" s="93"/>
    </row>
    <row r="711" spans="1:7" ht="18.75">
      <c r="A711" s="11"/>
      <c r="B711" s="12" t="s">
        <v>36</v>
      </c>
      <c r="C711" s="4" t="s">
        <v>20</v>
      </c>
      <c r="D711" s="10">
        <v>81.55000000000001</v>
      </c>
      <c r="E711" s="25">
        <v>125000</v>
      </c>
      <c r="F711" s="24">
        <v>10193750.000000002</v>
      </c>
      <c r="G711" s="93"/>
    </row>
    <row r="712" spans="1:7" ht="31.5">
      <c r="A712" s="11"/>
      <c r="B712" s="12" t="s">
        <v>592</v>
      </c>
      <c r="C712" s="4" t="s">
        <v>20</v>
      </c>
      <c r="D712" s="10">
        <v>74.89999999999999</v>
      </c>
      <c r="E712" s="25">
        <v>325000</v>
      </c>
      <c r="F712" s="24">
        <v>24342499.999999996</v>
      </c>
      <c r="G712" s="93"/>
    </row>
    <row r="713" spans="1:7" ht="31.5">
      <c r="A713" s="11"/>
      <c r="B713" s="12" t="s">
        <v>593</v>
      </c>
      <c r="C713" s="4" t="s">
        <v>20</v>
      </c>
      <c r="D713" s="10">
        <v>245.03500000000003</v>
      </c>
      <c r="E713" s="25">
        <v>928000</v>
      </c>
      <c r="F713" s="24">
        <v>227392480.00000003</v>
      </c>
      <c r="G713" s="93"/>
    </row>
    <row r="714" spans="1:7" ht="31.5">
      <c r="A714" s="11"/>
      <c r="B714" s="12" t="s">
        <v>887</v>
      </c>
      <c r="C714" s="4" t="s">
        <v>210</v>
      </c>
      <c r="D714" s="10">
        <v>255</v>
      </c>
      <c r="E714" s="130">
        <v>19140</v>
      </c>
      <c r="F714" s="24">
        <v>4880700</v>
      </c>
      <c r="G714" s="93"/>
    </row>
    <row r="715" spans="1:7" ht="31.5">
      <c r="A715" s="11"/>
      <c r="B715" s="12" t="s">
        <v>594</v>
      </c>
      <c r="C715" s="4" t="s">
        <v>20</v>
      </c>
      <c r="D715" s="10">
        <v>11</v>
      </c>
      <c r="E715" s="129">
        <v>410000</v>
      </c>
      <c r="F715" s="24">
        <v>4510000</v>
      </c>
      <c r="G715" s="93"/>
    </row>
    <row r="716" spans="1:7" ht="31.5">
      <c r="A716" s="11"/>
      <c r="B716" s="12" t="s">
        <v>595</v>
      </c>
      <c r="C716" s="4" t="s">
        <v>20</v>
      </c>
      <c r="D716" s="10">
        <v>17.6</v>
      </c>
      <c r="E716" s="25">
        <v>498000</v>
      </c>
      <c r="F716" s="24">
        <v>8764800</v>
      </c>
      <c r="G716" s="93"/>
    </row>
    <row r="717" spans="1:7" ht="18.75">
      <c r="A717" s="11"/>
      <c r="B717" s="12" t="s">
        <v>263</v>
      </c>
      <c r="C717" s="4" t="s">
        <v>20</v>
      </c>
      <c r="D717" s="10">
        <v>13.16</v>
      </c>
      <c r="E717" s="25">
        <v>125000</v>
      </c>
      <c r="F717" s="24">
        <v>1645000</v>
      </c>
      <c r="G717" s="93"/>
    </row>
    <row r="718" spans="1:7" ht="18.75">
      <c r="A718" s="11"/>
      <c r="B718" s="12" t="s">
        <v>596</v>
      </c>
      <c r="C718" s="4" t="s">
        <v>20</v>
      </c>
      <c r="D718" s="10">
        <v>31.02</v>
      </c>
      <c r="E718" s="25">
        <v>240000</v>
      </c>
      <c r="F718" s="24">
        <v>7444800</v>
      </c>
      <c r="G718" s="93"/>
    </row>
    <row r="719" spans="1:7" ht="31.5">
      <c r="A719" s="30"/>
      <c r="B719" s="29" t="s">
        <v>312</v>
      </c>
      <c r="C719" s="37" t="s">
        <v>20</v>
      </c>
      <c r="D719" s="50">
        <v>10.8</v>
      </c>
      <c r="E719" s="125">
        <v>325000</v>
      </c>
      <c r="F719" s="130">
        <v>3510000</v>
      </c>
      <c r="G719" s="97"/>
    </row>
    <row r="720" spans="1:7" ht="18.75">
      <c r="A720" s="30"/>
      <c r="B720" s="29" t="s">
        <v>28</v>
      </c>
      <c r="C720" s="37" t="s">
        <v>20</v>
      </c>
      <c r="D720" s="50">
        <v>5</v>
      </c>
      <c r="E720" s="125">
        <v>85000</v>
      </c>
      <c r="F720" s="130">
        <v>425000</v>
      </c>
      <c r="G720" s="48" t="s">
        <v>187</v>
      </c>
    </row>
    <row r="721" spans="1:7" ht="18.75">
      <c r="A721" s="30"/>
      <c r="B721" s="29" t="s">
        <v>27</v>
      </c>
      <c r="C721" s="37" t="s">
        <v>927</v>
      </c>
      <c r="D721" s="50">
        <v>0.414</v>
      </c>
      <c r="E721" s="125">
        <v>1854000</v>
      </c>
      <c r="F721" s="130">
        <v>767556</v>
      </c>
      <c r="G721" s="97"/>
    </row>
    <row r="722" spans="1:7" ht="31.5">
      <c r="A722" s="30"/>
      <c r="B722" s="29" t="s">
        <v>312</v>
      </c>
      <c r="C722" s="37" t="s">
        <v>20</v>
      </c>
      <c r="D722" s="50">
        <v>21.87</v>
      </c>
      <c r="E722" s="125">
        <v>325000</v>
      </c>
      <c r="F722" s="130">
        <v>7107750</v>
      </c>
      <c r="G722" s="97"/>
    </row>
    <row r="723" spans="1:7" ht="18.75">
      <c r="A723" s="30"/>
      <c r="B723" s="29" t="s">
        <v>25</v>
      </c>
      <c r="C723" s="37" t="s">
        <v>927</v>
      </c>
      <c r="D723" s="50">
        <v>3.5</v>
      </c>
      <c r="E723" s="125">
        <v>1250000</v>
      </c>
      <c r="F723" s="130">
        <v>4375000</v>
      </c>
      <c r="G723" s="97"/>
    </row>
    <row r="724" s="159" customFormat="1" ht="15.75">
      <c r="F724" s="190">
        <f>SUM(F174:F723)</f>
        <v>13678745785.974998</v>
      </c>
    </row>
    <row r="726" spans="1:7" ht="18.75">
      <c r="A726" s="11"/>
      <c r="B726" s="13" t="s">
        <v>1006</v>
      </c>
      <c r="C726" s="8" t="s">
        <v>20</v>
      </c>
      <c r="D726" s="50">
        <v>2</v>
      </c>
      <c r="E726" s="25">
        <v>6000</v>
      </c>
      <c r="F726" s="31">
        <v>12000</v>
      </c>
      <c r="G726" s="93"/>
    </row>
    <row r="727" spans="1:7" ht="18.75">
      <c r="A727" s="17"/>
      <c r="B727" s="13" t="s">
        <v>177</v>
      </c>
      <c r="C727" s="2" t="s">
        <v>20</v>
      </c>
      <c r="D727" s="9">
        <v>0.5</v>
      </c>
      <c r="E727" s="25">
        <v>6000</v>
      </c>
      <c r="F727" s="25">
        <v>3000</v>
      </c>
      <c r="G727" s="93"/>
    </row>
    <row r="728" spans="1:7" ht="15.75">
      <c r="A728" s="17"/>
      <c r="B728" s="13" t="s">
        <v>827</v>
      </c>
      <c r="C728" s="2" t="s">
        <v>37</v>
      </c>
      <c r="D728" s="9">
        <v>6</v>
      </c>
      <c r="E728" s="25">
        <v>20000</v>
      </c>
      <c r="F728" s="25">
        <v>120000</v>
      </c>
      <c r="G728" s="94" t="s">
        <v>187</v>
      </c>
    </row>
    <row r="729" spans="1:7" ht="15.75">
      <c r="A729" s="17"/>
      <c r="B729" s="13" t="s">
        <v>828</v>
      </c>
      <c r="C729" s="2" t="s">
        <v>37</v>
      </c>
      <c r="D729" s="9">
        <v>1</v>
      </c>
      <c r="E729" s="25">
        <v>40000</v>
      </c>
      <c r="F729" s="25">
        <v>40000</v>
      </c>
      <c r="G729" s="94" t="s">
        <v>187</v>
      </c>
    </row>
    <row r="730" spans="1:7" ht="15.75">
      <c r="A730" s="18"/>
      <c r="B730" s="13" t="s">
        <v>829</v>
      </c>
      <c r="C730" s="2" t="s">
        <v>37</v>
      </c>
      <c r="D730" s="9">
        <v>2</v>
      </c>
      <c r="E730" s="25">
        <v>20000</v>
      </c>
      <c r="F730" s="25">
        <v>40000</v>
      </c>
      <c r="G730" s="94" t="s">
        <v>187</v>
      </c>
    </row>
    <row r="731" spans="1:7" ht="15.75">
      <c r="A731" s="11"/>
      <c r="B731" s="12" t="s">
        <v>1000</v>
      </c>
      <c r="C731" s="8" t="s">
        <v>43</v>
      </c>
      <c r="D731" s="10">
        <v>2</v>
      </c>
      <c r="E731" s="24">
        <v>600000</v>
      </c>
      <c r="F731" s="25">
        <v>1200000</v>
      </c>
      <c r="G731" s="93"/>
    </row>
    <row r="732" spans="1:7" ht="15.75">
      <c r="A732" s="11"/>
      <c r="B732" s="12" t="s">
        <v>874</v>
      </c>
      <c r="C732" s="8" t="s">
        <v>43</v>
      </c>
      <c r="D732" s="10">
        <v>2</v>
      </c>
      <c r="E732" s="24">
        <v>60000</v>
      </c>
      <c r="F732" s="25">
        <v>120000</v>
      </c>
      <c r="G732" s="93"/>
    </row>
    <row r="733" spans="1:7" ht="15.75">
      <c r="A733" s="11"/>
      <c r="B733" s="12" t="s">
        <v>828</v>
      </c>
      <c r="C733" s="8" t="s">
        <v>37</v>
      </c>
      <c r="D733" s="10">
        <v>1</v>
      </c>
      <c r="E733" s="24">
        <v>40000</v>
      </c>
      <c r="F733" s="25">
        <v>40000</v>
      </c>
      <c r="G733" s="94" t="s">
        <v>187</v>
      </c>
    </row>
    <row r="734" spans="1:7" ht="15.75">
      <c r="A734" s="11"/>
      <c r="B734" s="12" t="s">
        <v>827</v>
      </c>
      <c r="C734" s="8" t="s">
        <v>37</v>
      </c>
      <c r="D734" s="10">
        <v>5</v>
      </c>
      <c r="E734" s="25">
        <v>20000</v>
      </c>
      <c r="F734" s="25">
        <v>100000</v>
      </c>
      <c r="G734" s="94" t="s">
        <v>187</v>
      </c>
    </row>
    <row r="735" spans="1:7" ht="15.75">
      <c r="A735" s="11"/>
      <c r="B735" s="12" t="s">
        <v>829</v>
      </c>
      <c r="C735" s="8" t="s">
        <v>37</v>
      </c>
      <c r="D735" s="10">
        <v>6</v>
      </c>
      <c r="E735" s="25">
        <v>20000</v>
      </c>
      <c r="F735" s="25">
        <v>120000</v>
      </c>
      <c r="G735" s="94" t="s">
        <v>187</v>
      </c>
    </row>
    <row r="736" spans="1:7" ht="15.75">
      <c r="A736" s="11"/>
      <c r="B736" s="12" t="s">
        <v>830</v>
      </c>
      <c r="C736" s="8" t="s">
        <v>37</v>
      </c>
      <c r="D736" s="10">
        <v>7</v>
      </c>
      <c r="E736" s="25">
        <v>20000</v>
      </c>
      <c r="F736" s="25">
        <v>140000</v>
      </c>
      <c r="G736" s="94" t="s">
        <v>187</v>
      </c>
    </row>
    <row r="737" spans="1:7" ht="15.75">
      <c r="A737" s="11"/>
      <c r="B737" s="12" t="s">
        <v>831</v>
      </c>
      <c r="C737" s="8" t="s">
        <v>37</v>
      </c>
      <c r="D737" s="10">
        <v>10</v>
      </c>
      <c r="E737" s="24">
        <v>10000</v>
      </c>
      <c r="F737" s="25">
        <v>100000</v>
      </c>
      <c r="G737" s="94" t="s">
        <v>187</v>
      </c>
    </row>
    <row r="738" spans="1:7" ht="15.75">
      <c r="A738" s="11"/>
      <c r="B738" s="12" t="s">
        <v>1007</v>
      </c>
      <c r="C738" s="8" t="s">
        <v>43</v>
      </c>
      <c r="D738" s="10">
        <v>1</v>
      </c>
      <c r="E738" s="24">
        <v>240000</v>
      </c>
      <c r="F738" s="25">
        <v>240000</v>
      </c>
      <c r="G738" s="93"/>
    </row>
    <row r="739" spans="1:7" ht="15.75">
      <c r="A739" s="17"/>
      <c r="B739" s="13" t="s">
        <v>832</v>
      </c>
      <c r="C739" s="2" t="s">
        <v>37</v>
      </c>
      <c r="D739" s="9">
        <v>3</v>
      </c>
      <c r="E739" s="25">
        <v>40000</v>
      </c>
      <c r="F739" s="25">
        <v>120000</v>
      </c>
      <c r="G739" s="94" t="s">
        <v>187</v>
      </c>
    </row>
    <row r="740" spans="1:7" ht="15.75">
      <c r="A740" s="17"/>
      <c r="B740" s="13" t="s">
        <v>828</v>
      </c>
      <c r="C740" s="2" t="s">
        <v>37</v>
      </c>
      <c r="D740" s="9">
        <v>3</v>
      </c>
      <c r="E740" s="25">
        <v>40000</v>
      </c>
      <c r="F740" s="25">
        <v>120000</v>
      </c>
      <c r="G740" s="94" t="s">
        <v>187</v>
      </c>
    </row>
    <row r="741" spans="1:7" ht="15.75">
      <c r="A741" s="17"/>
      <c r="B741" s="13" t="s">
        <v>833</v>
      </c>
      <c r="C741" s="2" t="s">
        <v>37</v>
      </c>
      <c r="D741" s="9">
        <v>8</v>
      </c>
      <c r="E741" s="25">
        <v>20000</v>
      </c>
      <c r="F741" s="25">
        <v>160000</v>
      </c>
      <c r="G741" s="94" t="s">
        <v>187</v>
      </c>
    </row>
    <row r="742" spans="1:7" ht="15.75">
      <c r="A742" s="17"/>
      <c r="B742" s="13" t="s">
        <v>829</v>
      </c>
      <c r="C742" s="2" t="s">
        <v>37</v>
      </c>
      <c r="D742" s="9">
        <v>25</v>
      </c>
      <c r="E742" s="25">
        <v>20000</v>
      </c>
      <c r="F742" s="25">
        <v>500000</v>
      </c>
      <c r="G742" s="94" t="s">
        <v>187</v>
      </c>
    </row>
    <row r="743" spans="1:7" ht="15.75">
      <c r="A743" s="17"/>
      <c r="B743" s="13" t="s">
        <v>827</v>
      </c>
      <c r="C743" s="2" t="s">
        <v>37</v>
      </c>
      <c r="D743" s="9">
        <v>5</v>
      </c>
      <c r="E743" s="25">
        <v>20000</v>
      </c>
      <c r="F743" s="25">
        <v>100000</v>
      </c>
      <c r="G743" s="94" t="s">
        <v>187</v>
      </c>
    </row>
    <row r="744" spans="1:7" ht="15.75">
      <c r="A744" s="17"/>
      <c r="B744" s="13" t="s">
        <v>830</v>
      </c>
      <c r="C744" s="2" t="s">
        <v>37</v>
      </c>
      <c r="D744" s="9">
        <v>4</v>
      </c>
      <c r="E744" s="25">
        <v>20000</v>
      </c>
      <c r="F744" s="25">
        <v>80000</v>
      </c>
      <c r="G744" s="94" t="s">
        <v>187</v>
      </c>
    </row>
    <row r="745" spans="1:7" ht="15.75">
      <c r="A745" s="17"/>
      <c r="B745" s="13" t="s">
        <v>831</v>
      </c>
      <c r="C745" s="2" t="s">
        <v>37</v>
      </c>
      <c r="D745" s="9">
        <v>8</v>
      </c>
      <c r="E745" s="25">
        <v>10000</v>
      </c>
      <c r="F745" s="25">
        <v>80000</v>
      </c>
      <c r="G745" s="94" t="s">
        <v>187</v>
      </c>
    </row>
    <row r="746" spans="1:7" ht="18.75">
      <c r="A746" s="17"/>
      <c r="B746" s="13" t="s">
        <v>49</v>
      </c>
      <c r="C746" s="2" t="s">
        <v>20</v>
      </c>
      <c r="D746" s="9">
        <v>2</v>
      </c>
      <c r="E746" s="25">
        <v>65000</v>
      </c>
      <c r="F746" s="25">
        <v>130000</v>
      </c>
      <c r="G746" s="93"/>
    </row>
    <row r="747" spans="1:7" ht="15.75">
      <c r="A747" s="62"/>
      <c r="B747" s="29" t="s">
        <v>1008</v>
      </c>
      <c r="C747" s="49" t="s">
        <v>43</v>
      </c>
      <c r="D747" s="50">
        <v>1</v>
      </c>
      <c r="E747" s="125">
        <v>80000</v>
      </c>
      <c r="F747" s="125">
        <v>80000</v>
      </c>
      <c r="G747" s="97"/>
    </row>
    <row r="748" spans="1:7" ht="15.75">
      <c r="A748" s="17"/>
      <c r="B748" s="13" t="s">
        <v>1003</v>
      </c>
      <c r="C748" s="2" t="s">
        <v>43</v>
      </c>
      <c r="D748" s="9">
        <v>1</v>
      </c>
      <c r="E748" s="25">
        <v>300000</v>
      </c>
      <c r="F748" s="25">
        <v>300000</v>
      </c>
      <c r="G748" s="93"/>
    </row>
    <row r="749" spans="1:7" ht="15.75">
      <c r="A749" s="17"/>
      <c r="B749" s="13" t="s">
        <v>1009</v>
      </c>
      <c r="C749" s="2" t="s">
        <v>43</v>
      </c>
      <c r="D749" s="9">
        <v>1</v>
      </c>
      <c r="E749" s="25">
        <v>160000</v>
      </c>
      <c r="F749" s="25">
        <v>160000</v>
      </c>
      <c r="G749" s="93"/>
    </row>
    <row r="750" spans="1:7" ht="15.75">
      <c r="A750" s="17"/>
      <c r="B750" s="13" t="s">
        <v>1010</v>
      </c>
      <c r="C750" s="2" t="s">
        <v>43</v>
      </c>
      <c r="D750" s="9">
        <v>4</v>
      </c>
      <c r="E750" s="25">
        <v>60000</v>
      </c>
      <c r="F750" s="25">
        <v>240000</v>
      </c>
      <c r="G750" s="93"/>
    </row>
    <row r="751" spans="1:7" ht="15.75">
      <c r="A751" s="17"/>
      <c r="B751" s="13" t="s">
        <v>1011</v>
      </c>
      <c r="C751" s="2" t="s">
        <v>43</v>
      </c>
      <c r="D751" s="9">
        <v>1</v>
      </c>
      <c r="E751" s="25">
        <v>100000</v>
      </c>
      <c r="F751" s="25">
        <v>100000</v>
      </c>
      <c r="G751" s="93"/>
    </row>
    <row r="752" spans="1:7" ht="15.75">
      <c r="A752" s="17"/>
      <c r="B752" s="13" t="s">
        <v>829</v>
      </c>
      <c r="C752" s="2" t="s">
        <v>37</v>
      </c>
      <c r="D752" s="9">
        <v>5</v>
      </c>
      <c r="E752" s="25">
        <v>20000</v>
      </c>
      <c r="F752" s="25">
        <v>100000</v>
      </c>
      <c r="G752" s="94" t="s">
        <v>187</v>
      </c>
    </row>
    <row r="753" spans="1:7" ht="15.75">
      <c r="A753" s="17"/>
      <c r="B753" s="13" t="s">
        <v>830</v>
      </c>
      <c r="C753" s="2" t="s">
        <v>37</v>
      </c>
      <c r="D753" s="9">
        <v>2</v>
      </c>
      <c r="E753" s="25">
        <v>20000</v>
      </c>
      <c r="F753" s="25">
        <v>40000</v>
      </c>
      <c r="G753" s="94" t="s">
        <v>187</v>
      </c>
    </row>
    <row r="754" spans="1:7" ht="15.75">
      <c r="A754" s="17"/>
      <c r="B754" s="13" t="s">
        <v>831</v>
      </c>
      <c r="C754" s="2" t="s">
        <v>37</v>
      </c>
      <c r="D754" s="9">
        <v>1</v>
      </c>
      <c r="E754" s="25">
        <v>10000</v>
      </c>
      <c r="F754" s="25">
        <v>10000</v>
      </c>
      <c r="G754" s="94" t="s">
        <v>187</v>
      </c>
    </row>
    <row r="755" spans="1:7" ht="15.75">
      <c r="A755" s="17"/>
      <c r="B755" s="13" t="s">
        <v>831</v>
      </c>
      <c r="C755" s="2" t="s">
        <v>37</v>
      </c>
      <c r="D755" s="9">
        <v>6</v>
      </c>
      <c r="E755" s="25">
        <v>10000</v>
      </c>
      <c r="F755" s="25">
        <v>60000</v>
      </c>
      <c r="G755" s="94" t="s">
        <v>187</v>
      </c>
    </row>
    <row r="756" spans="1:7" ht="15.75">
      <c r="A756" s="17"/>
      <c r="B756" s="13" t="s">
        <v>830</v>
      </c>
      <c r="C756" s="2" t="s">
        <v>37</v>
      </c>
      <c r="D756" s="9">
        <v>2</v>
      </c>
      <c r="E756" s="25">
        <v>20000</v>
      </c>
      <c r="F756" s="25">
        <v>40000</v>
      </c>
      <c r="G756" s="94" t="s">
        <v>187</v>
      </c>
    </row>
    <row r="757" spans="1:7" ht="15.75">
      <c r="A757" s="17"/>
      <c r="B757" s="13" t="s">
        <v>827</v>
      </c>
      <c r="C757" s="2" t="s">
        <v>37</v>
      </c>
      <c r="D757" s="9">
        <v>7</v>
      </c>
      <c r="E757" s="25">
        <v>20000</v>
      </c>
      <c r="F757" s="25">
        <v>140000</v>
      </c>
      <c r="G757" s="94" t="s">
        <v>187</v>
      </c>
    </row>
    <row r="758" spans="1:7" ht="15.75">
      <c r="A758" s="11"/>
      <c r="B758" s="13" t="s">
        <v>828</v>
      </c>
      <c r="C758" s="2" t="s">
        <v>37</v>
      </c>
      <c r="D758" s="10">
        <v>3</v>
      </c>
      <c r="E758" s="25">
        <v>40000</v>
      </c>
      <c r="F758" s="25">
        <v>120000</v>
      </c>
      <c r="G758" s="94" t="s">
        <v>187</v>
      </c>
    </row>
    <row r="759" spans="1:7" ht="15.75">
      <c r="A759" s="11"/>
      <c r="B759" s="13" t="s">
        <v>1012</v>
      </c>
      <c r="C759" s="20" t="s">
        <v>43</v>
      </c>
      <c r="D759" s="10">
        <v>1</v>
      </c>
      <c r="E759" s="25">
        <v>100000</v>
      </c>
      <c r="F759" s="25">
        <v>100000</v>
      </c>
      <c r="G759" s="93"/>
    </row>
    <row r="760" spans="1:7" ht="15.75">
      <c r="A760" s="11"/>
      <c r="B760" s="13" t="s">
        <v>1013</v>
      </c>
      <c r="C760" s="20" t="s">
        <v>43</v>
      </c>
      <c r="D760" s="10">
        <v>1</v>
      </c>
      <c r="E760" s="25">
        <v>600000</v>
      </c>
      <c r="F760" s="25">
        <v>600000</v>
      </c>
      <c r="G760" s="93"/>
    </row>
    <row r="761" spans="1:7" ht="31.5">
      <c r="A761" s="11"/>
      <c r="B761" s="13" t="s">
        <v>1014</v>
      </c>
      <c r="C761" s="20" t="s">
        <v>43</v>
      </c>
      <c r="D761" s="10">
        <v>1</v>
      </c>
      <c r="E761" s="25">
        <v>600000</v>
      </c>
      <c r="F761" s="25">
        <v>600000</v>
      </c>
      <c r="G761" s="93"/>
    </row>
    <row r="762" spans="1:7" ht="15.75">
      <c r="A762" s="11"/>
      <c r="B762" s="13" t="s">
        <v>1015</v>
      </c>
      <c r="C762" s="20" t="s">
        <v>43</v>
      </c>
      <c r="D762" s="10">
        <v>4</v>
      </c>
      <c r="E762" s="25">
        <v>1800000</v>
      </c>
      <c r="F762" s="25">
        <v>7200000</v>
      </c>
      <c r="G762" s="93"/>
    </row>
    <row r="763" spans="1:7" ht="15.75">
      <c r="A763" s="11"/>
      <c r="B763" s="13" t="s">
        <v>1016</v>
      </c>
      <c r="C763" s="20" t="s">
        <v>43</v>
      </c>
      <c r="D763" s="10">
        <v>2</v>
      </c>
      <c r="E763" s="25">
        <v>400000</v>
      </c>
      <c r="F763" s="25">
        <v>800000</v>
      </c>
      <c r="G763" s="93"/>
    </row>
    <row r="764" spans="1:7" ht="15.75">
      <c r="A764" s="11"/>
      <c r="B764" s="13" t="s">
        <v>1017</v>
      </c>
      <c r="C764" s="20" t="s">
        <v>43</v>
      </c>
      <c r="D764" s="10">
        <v>1</v>
      </c>
      <c r="E764" s="25">
        <v>800000</v>
      </c>
      <c r="F764" s="25">
        <v>800000</v>
      </c>
      <c r="G764" s="93"/>
    </row>
    <row r="765" spans="1:7" ht="15.75">
      <c r="A765" s="11"/>
      <c r="B765" s="13" t="s">
        <v>832</v>
      </c>
      <c r="C765" s="20" t="s">
        <v>37</v>
      </c>
      <c r="D765" s="10">
        <v>35</v>
      </c>
      <c r="E765" s="25">
        <v>40000</v>
      </c>
      <c r="F765" s="25">
        <v>1400000</v>
      </c>
      <c r="G765" s="94" t="s">
        <v>187</v>
      </c>
    </row>
    <row r="766" spans="1:7" ht="15.75">
      <c r="A766" s="11"/>
      <c r="B766" s="13" t="s">
        <v>830</v>
      </c>
      <c r="C766" s="20" t="s">
        <v>37</v>
      </c>
      <c r="D766" s="10">
        <v>50</v>
      </c>
      <c r="E766" s="25">
        <v>20000</v>
      </c>
      <c r="F766" s="25">
        <v>1000000</v>
      </c>
      <c r="G766" s="94" t="s">
        <v>187</v>
      </c>
    </row>
    <row r="767" spans="1:7" ht="15.75">
      <c r="A767" s="11"/>
      <c r="B767" s="13" t="s">
        <v>833</v>
      </c>
      <c r="C767" s="20" t="s">
        <v>37</v>
      </c>
      <c r="D767" s="10">
        <v>20</v>
      </c>
      <c r="E767" s="25">
        <v>20000</v>
      </c>
      <c r="F767" s="25">
        <v>400000</v>
      </c>
      <c r="G767" s="94" t="s">
        <v>187</v>
      </c>
    </row>
    <row r="768" spans="1:7" ht="15.75">
      <c r="A768" s="11"/>
      <c r="B768" s="13" t="s">
        <v>1018</v>
      </c>
      <c r="C768" s="20" t="s">
        <v>43</v>
      </c>
      <c r="D768" s="10">
        <v>1</v>
      </c>
      <c r="E768" s="25">
        <v>682000</v>
      </c>
      <c r="F768" s="25">
        <v>682000</v>
      </c>
      <c r="G768" s="93"/>
    </row>
    <row r="769" spans="1:7" ht="15.75">
      <c r="A769" s="11"/>
      <c r="B769" s="13" t="s">
        <v>1019</v>
      </c>
      <c r="C769" s="20" t="s">
        <v>43</v>
      </c>
      <c r="D769" s="10">
        <v>1</v>
      </c>
      <c r="E769" s="25">
        <v>1800000</v>
      </c>
      <c r="F769" s="25">
        <v>1800000</v>
      </c>
      <c r="G769" s="93"/>
    </row>
    <row r="770" spans="1:7" ht="15.75">
      <c r="A770" s="11"/>
      <c r="B770" s="13" t="s">
        <v>1020</v>
      </c>
      <c r="C770" s="20" t="s">
        <v>43</v>
      </c>
      <c r="D770" s="10">
        <v>5</v>
      </c>
      <c r="E770" s="25">
        <v>227000</v>
      </c>
      <c r="F770" s="25">
        <v>1135000</v>
      </c>
      <c r="G770" s="93"/>
    </row>
    <row r="771" spans="1:7" ht="31.5">
      <c r="A771" s="11"/>
      <c r="B771" s="13" t="s">
        <v>1021</v>
      </c>
      <c r="C771" s="20" t="s">
        <v>43</v>
      </c>
      <c r="D771" s="10">
        <v>2</v>
      </c>
      <c r="E771" s="25">
        <v>200000</v>
      </c>
      <c r="F771" s="25">
        <v>400000</v>
      </c>
      <c r="G771" s="93"/>
    </row>
    <row r="772" spans="1:7" ht="15.75">
      <c r="A772" s="11"/>
      <c r="B772" s="13" t="s">
        <v>1022</v>
      </c>
      <c r="C772" s="20" t="s">
        <v>43</v>
      </c>
      <c r="D772" s="10">
        <v>2</v>
      </c>
      <c r="E772" s="25">
        <v>1200000</v>
      </c>
      <c r="F772" s="25">
        <v>2400000</v>
      </c>
      <c r="G772" s="93"/>
    </row>
    <row r="773" spans="1:7" ht="15.75">
      <c r="A773" s="11"/>
      <c r="B773" s="13" t="s">
        <v>1023</v>
      </c>
      <c r="C773" s="20" t="s">
        <v>43</v>
      </c>
      <c r="D773" s="10">
        <v>200</v>
      </c>
      <c r="E773" s="25">
        <v>2000</v>
      </c>
      <c r="F773" s="25">
        <v>400000</v>
      </c>
      <c r="G773" s="93"/>
    </row>
    <row r="774" spans="1:7" ht="15.75">
      <c r="A774" s="11"/>
      <c r="B774" s="13" t="s">
        <v>999</v>
      </c>
      <c r="C774" s="20" t="s">
        <v>43</v>
      </c>
      <c r="D774" s="10">
        <v>10</v>
      </c>
      <c r="E774" s="25">
        <v>180000</v>
      </c>
      <c r="F774" s="25">
        <v>1800000</v>
      </c>
      <c r="G774" s="93"/>
    </row>
    <row r="775" spans="1:7" ht="15.75">
      <c r="A775" s="17"/>
      <c r="B775" s="13" t="s">
        <v>830</v>
      </c>
      <c r="C775" s="2" t="s">
        <v>37</v>
      </c>
      <c r="D775" s="9">
        <v>27</v>
      </c>
      <c r="E775" s="25">
        <v>20000</v>
      </c>
      <c r="F775" s="25">
        <v>540000</v>
      </c>
      <c r="G775" s="94" t="s">
        <v>187</v>
      </c>
    </row>
    <row r="776" spans="1:7" ht="15.75">
      <c r="A776" s="17"/>
      <c r="B776" s="13" t="s">
        <v>827</v>
      </c>
      <c r="C776" s="2" t="s">
        <v>37</v>
      </c>
      <c r="D776" s="9">
        <v>19</v>
      </c>
      <c r="E776" s="25">
        <v>20000</v>
      </c>
      <c r="F776" s="25">
        <v>380000</v>
      </c>
      <c r="G776" s="94" t="s">
        <v>187</v>
      </c>
    </row>
    <row r="777" spans="1:7" ht="15.75">
      <c r="A777" s="17"/>
      <c r="B777" s="13" t="s">
        <v>833</v>
      </c>
      <c r="C777" s="2" t="s">
        <v>37</v>
      </c>
      <c r="D777" s="9">
        <v>6</v>
      </c>
      <c r="E777" s="25">
        <v>20000</v>
      </c>
      <c r="F777" s="25">
        <v>120000</v>
      </c>
      <c r="G777" s="94" t="s">
        <v>187</v>
      </c>
    </row>
    <row r="778" spans="1:7" ht="15.75">
      <c r="A778" s="11"/>
      <c r="B778" s="13" t="s">
        <v>828</v>
      </c>
      <c r="C778" s="2" t="s">
        <v>37</v>
      </c>
      <c r="D778" s="10">
        <v>5</v>
      </c>
      <c r="E778" s="25">
        <v>40000</v>
      </c>
      <c r="F778" s="25">
        <v>200000</v>
      </c>
      <c r="G778" s="94" t="s">
        <v>187</v>
      </c>
    </row>
    <row r="779" spans="1:7" ht="15.75">
      <c r="A779" s="11"/>
      <c r="B779" s="13" t="s">
        <v>839</v>
      </c>
      <c r="C779" s="2" t="s">
        <v>37</v>
      </c>
      <c r="D779" s="9">
        <v>2</v>
      </c>
      <c r="E779" s="25">
        <v>40000</v>
      </c>
      <c r="F779" s="25">
        <v>80000</v>
      </c>
      <c r="G779" s="94" t="s">
        <v>187</v>
      </c>
    </row>
    <row r="780" spans="1:7" ht="15.75">
      <c r="A780" s="11"/>
      <c r="B780" s="13" t="s">
        <v>833</v>
      </c>
      <c r="C780" s="2" t="s">
        <v>37</v>
      </c>
      <c r="D780" s="9">
        <v>5</v>
      </c>
      <c r="E780" s="25">
        <v>20000</v>
      </c>
      <c r="F780" s="25">
        <v>100000</v>
      </c>
      <c r="G780" s="94" t="s">
        <v>187</v>
      </c>
    </row>
    <row r="781" spans="1:7" ht="15.75">
      <c r="A781" s="11"/>
      <c r="B781" s="13" t="s">
        <v>827</v>
      </c>
      <c r="C781" s="2" t="s">
        <v>37</v>
      </c>
      <c r="D781" s="9">
        <v>5</v>
      </c>
      <c r="E781" s="25">
        <v>20000</v>
      </c>
      <c r="F781" s="25">
        <v>100000</v>
      </c>
      <c r="G781" s="94" t="s">
        <v>187</v>
      </c>
    </row>
    <row r="782" spans="1:7" ht="15.75">
      <c r="A782" s="11"/>
      <c r="B782" s="13" t="s">
        <v>830</v>
      </c>
      <c r="C782" s="2" t="s">
        <v>37</v>
      </c>
      <c r="D782" s="9">
        <v>10</v>
      </c>
      <c r="E782" s="25">
        <v>20000</v>
      </c>
      <c r="F782" s="25">
        <v>200000</v>
      </c>
      <c r="G782" s="94" t="s">
        <v>187</v>
      </c>
    </row>
    <row r="783" spans="1:7" ht="15.75">
      <c r="A783" s="11"/>
      <c r="B783" s="12" t="s">
        <v>841</v>
      </c>
      <c r="C783" s="4" t="s">
        <v>117</v>
      </c>
      <c r="D783" s="10">
        <v>1</v>
      </c>
      <c r="E783" s="24">
        <v>40000</v>
      </c>
      <c r="F783" s="25">
        <v>40000</v>
      </c>
      <c r="G783" s="94" t="s">
        <v>187</v>
      </c>
    </row>
    <row r="784" spans="1:7" ht="15.75">
      <c r="A784" s="11"/>
      <c r="B784" s="12" t="s">
        <v>827</v>
      </c>
      <c r="C784" s="4" t="s">
        <v>117</v>
      </c>
      <c r="D784" s="10">
        <v>2</v>
      </c>
      <c r="E784" s="25">
        <v>20000</v>
      </c>
      <c r="F784" s="25">
        <v>40000</v>
      </c>
      <c r="G784" s="94" t="s">
        <v>187</v>
      </c>
    </row>
    <row r="785" spans="1:7" ht="15.75">
      <c r="A785" s="11"/>
      <c r="B785" s="12" t="s">
        <v>828</v>
      </c>
      <c r="C785" s="4" t="s">
        <v>117</v>
      </c>
      <c r="D785" s="10">
        <v>1</v>
      </c>
      <c r="E785" s="24">
        <v>40000</v>
      </c>
      <c r="F785" s="25">
        <v>40000</v>
      </c>
      <c r="G785" s="94" t="s">
        <v>187</v>
      </c>
    </row>
    <row r="786" spans="1:7" ht="15.75">
      <c r="A786" s="11"/>
      <c r="B786" s="12" t="s">
        <v>829</v>
      </c>
      <c r="C786" s="4" t="s">
        <v>117</v>
      </c>
      <c r="D786" s="10">
        <v>1</v>
      </c>
      <c r="E786" s="25">
        <v>20000</v>
      </c>
      <c r="F786" s="25">
        <v>20000</v>
      </c>
      <c r="G786" s="94" t="s">
        <v>187</v>
      </c>
    </row>
    <row r="787" spans="1:7" ht="15.75">
      <c r="A787" s="11"/>
      <c r="B787" s="12" t="s">
        <v>830</v>
      </c>
      <c r="C787" s="4" t="s">
        <v>117</v>
      </c>
      <c r="D787" s="10">
        <v>2</v>
      </c>
      <c r="E787" s="25">
        <v>20000</v>
      </c>
      <c r="F787" s="25">
        <v>40000</v>
      </c>
      <c r="G787" s="94" t="s">
        <v>187</v>
      </c>
    </row>
    <row r="788" spans="1:7" ht="15.75">
      <c r="A788" s="11"/>
      <c r="B788" s="12" t="s">
        <v>833</v>
      </c>
      <c r="C788" s="4" t="s">
        <v>37</v>
      </c>
      <c r="D788" s="10">
        <v>1</v>
      </c>
      <c r="E788" s="25">
        <v>20000</v>
      </c>
      <c r="F788" s="25">
        <v>20000</v>
      </c>
      <c r="G788" s="94" t="s">
        <v>187</v>
      </c>
    </row>
    <row r="789" spans="1:7" ht="15.75">
      <c r="A789" s="19"/>
      <c r="B789" s="12" t="s">
        <v>829</v>
      </c>
      <c r="C789" s="4" t="s">
        <v>37</v>
      </c>
      <c r="D789" s="15">
        <v>2</v>
      </c>
      <c r="E789" s="25">
        <v>20000</v>
      </c>
      <c r="F789" s="25">
        <v>40000</v>
      </c>
      <c r="G789" s="94" t="s">
        <v>187</v>
      </c>
    </row>
    <row r="790" spans="1:7" ht="15.75">
      <c r="A790" s="17"/>
      <c r="B790" s="11" t="s">
        <v>1025</v>
      </c>
      <c r="C790" s="8" t="s">
        <v>43</v>
      </c>
      <c r="D790" s="10">
        <v>1</v>
      </c>
      <c r="E790" s="24">
        <v>400000</v>
      </c>
      <c r="F790" s="25">
        <v>400000</v>
      </c>
      <c r="G790" s="93"/>
    </row>
    <row r="791" spans="1:7" ht="15.75">
      <c r="A791" s="40"/>
      <c r="B791" s="12" t="s">
        <v>999</v>
      </c>
      <c r="C791" s="2" t="s">
        <v>43</v>
      </c>
      <c r="D791" s="9">
        <v>1</v>
      </c>
      <c r="E791" s="25">
        <v>180000</v>
      </c>
      <c r="F791" s="25">
        <v>180000</v>
      </c>
      <c r="G791" s="93"/>
    </row>
    <row r="792" spans="1:7" ht="15.75">
      <c r="A792" s="40"/>
      <c r="B792" s="11" t="s">
        <v>999</v>
      </c>
      <c r="C792" s="4" t="s">
        <v>43</v>
      </c>
      <c r="D792" s="10">
        <v>1</v>
      </c>
      <c r="E792" s="25">
        <v>180000</v>
      </c>
      <c r="F792" s="25">
        <v>180000</v>
      </c>
      <c r="G792" s="90"/>
    </row>
    <row r="793" spans="1:7" ht="18.75">
      <c r="A793" s="40"/>
      <c r="B793" s="13" t="s">
        <v>135</v>
      </c>
      <c r="C793" s="4" t="s">
        <v>20</v>
      </c>
      <c r="D793" s="7">
        <v>3</v>
      </c>
      <c r="E793" s="25">
        <v>6000</v>
      </c>
      <c r="F793" s="25">
        <v>18000</v>
      </c>
      <c r="G793" s="90"/>
    </row>
    <row r="794" spans="2:7" ht="31.5">
      <c r="B794" s="13" t="s">
        <v>1026</v>
      </c>
      <c r="C794" s="4" t="s">
        <v>43</v>
      </c>
      <c r="D794" s="9">
        <v>1</v>
      </c>
      <c r="E794" s="25">
        <v>100000</v>
      </c>
      <c r="F794" s="25">
        <v>100000</v>
      </c>
      <c r="G794" s="90"/>
    </row>
    <row r="795" spans="1:7" ht="15.75">
      <c r="A795" s="11"/>
      <c r="B795" s="12" t="s">
        <v>1027</v>
      </c>
      <c r="C795" s="4" t="s">
        <v>43</v>
      </c>
      <c r="D795" s="10">
        <v>1</v>
      </c>
      <c r="E795" s="24">
        <v>200000</v>
      </c>
      <c r="F795" s="25">
        <v>200000</v>
      </c>
      <c r="G795" s="93"/>
    </row>
    <row r="796" spans="1:7" ht="15.75">
      <c r="A796" s="11"/>
      <c r="B796" s="12" t="s">
        <v>1028</v>
      </c>
      <c r="C796" s="4" t="s">
        <v>43</v>
      </c>
      <c r="D796" s="10">
        <v>3</v>
      </c>
      <c r="E796" s="24">
        <v>1000000</v>
      </c>
      <c r="F796" s="25">
        <v>3000000</v>
      </c>
      <c r="G796" s="93"/>
    </row>
    <row r="797" spans="1:7" ht="15.75">
      <c r="A797" s="11"/>
      <c r="B797" s="12" t="s">
        <v>202</v>
      </c>
      <c r="C797" s="4" t="s">
        <v>145</v>
      </c>
      <c r="D797" s="10">
        <v>3</v>
      </c>
      <c r="E797" s="24">
        <v>160000</v>
      </c>
      <c r="F797" s="25">
        <v>480000</v>
      </c>
      <c r="G797" s="93"/>
    </row>
    <row r="798" spans="1:7" ht="15.75">
      <c r="A798" s="11"/>
      <c r="B798" s="12" t="s">
        <v>999</v>
      </c>
      <c r="C798" s="4" t="s">
        <v>43</v>
      </c>
      <c r="D798" s="10">
        <v>1</v>
      </c>
      <c r="E798" s="24">
        <v>180000</v>
      </c>
      <c r="F798" s="25">
        <v>180000</v>
      </c>
      <c r="G798" s="93"/>
    </row>
    <row r="799" spans="1:7" ht="18.75">
      <c r="A799" s="32"/>
      <c r="B799" s="33" t="s">
        <v>142</v>
      </c>
      <c r="C799" s="34" t="s">
        <v>20</v>
      </c>
      <c r="D799" s="35">
        <v>3</v>
      </c>
      <c r="E799" s="58">
        <v>12000</v>
      </c>
      <c r="F799" s="137">
        <v>36000</v>
      </c>
      <c r="G799" s="103"/>
    </row>
    <row r="800" spans="1:7" ht="15.75">
      <c r="A800" s="16"/>
      <c r="B800" s="11" t="s">
        <v>1029</v>
      </c>
      <c r="C800" s="8" t="s">
        <v>43</v>
      </c>
      <c r="D800" s="10">
        <v>80</v>
      </c>
      <c r="E800" s="24">
        <v>300000</v>
      </c>
      <c r="F800" s="25">
        <v>24000000</v>
      </c>
      <c r="G800" s="93"/>
    </row>
    <row r="801" spans="1:7" ht="15.75">
      <c r="A801" s="16"/>
      <c r="B801" s="12" t="s">
        <v>203</v>
      </c>
      <c r="C801" s="2" t="s">
        <v>145</v>
      </c>
      <c r="D801" s="9">
        <v>80</v>
      </c>
      <c r="E801" s="25">
        <v>96000</v>
      </c>
      <c r="F801" s="25">
        <v>7680000</v>
      </c>
      <c r="G801" s="93"/>
    </row>
    <row r="802" spans="1:7" ht="15.75">
      <c r="A802" s="40"/>
      <c r="B802" s="12" t="s">
        <v>1030</v>
      </c>
      <c r="C802" s="4" t="s">
        <v>43</v>
      </c>
      <c r="D802" s="10">
        <v>30</v>
      </c>
      <c r="E802" s="24">
        <v>227000</v>
      </c>
      <c r="F802" s="25">
        <v>6810000</v>
      </c>
      <c r="G802" s="93"/>
    </row>
    <row r="803" spans="1:7" ht="15.75">
      <c r="A803" s="40"/>
      <c r="B803" s="12" t="s">
        <v>442</v>
      </c>
      <c r="C803" s="4" t="s">
        <v>145</v>
      </c>
      <c r="D803" s="10">
        <v>60</v>
      </c>
      <c r="E803" s="24">
        <v>96000</v>
      </c>
      <c r="F803" s="25">
        <v>5760000</v>
      </c>
      <c r="G803" s="93"/>
    </row>
    <row r="804" spans="1:7" ht="15.75">
      <c r="A804" s="40"/>
      <c r="B804" s="12" t="s">
        <v>1031</v>
      </c>
      <c r="C804" s="4" t="s">
        <v>43</v>
      </c>
      <c r="D804" s="10">
        <v>25</v>
      </c>
      <c r="E804" s="24">
        <v>227000</v>
      </c>
      <c r="F804" s="25">
        <v>5675000</v>
      </c>
      <c r="G804" s="93"/>
    </row>
    <row r="805" spans="1:7" ht="15.75">
      <c r="A805" s="40"/>
      <c r="B805" s="12" t="s">
        <v>1030</v>
      </c>
      <c r="C805" s="4" t="s">
        <v>43</v>
      </c>
      <c r="D805" s="10">
        <v>30</v>
      </c>
      <c r="E805" s="24">
        <v>227000</v>
      </c>
      <c r="F805" s="25">
        <v>6810000</v>
      </c>
      <c r="G805" s="93"/>
    </row>
    <row r="806" spans="1:7" ht="15.75">
      <c r="A806" s="40"/>
      <c r="B806" s="12" t="s">
        <v>1032</v>
      </c>
      <c r="C806" s="4" t="s">
        <v>43</v>
      </c>
      <c r="D806" s="10">
        <v>40</v>
      </c>
      <c r="E806" s="24">
        <v>300000</v>
      </c>
      <c r="F806" s="25">
        <v>12000000</v>
      </c>
      <c r="G806" s="93"/>
    </row>
    <row r="807" spans="1:7" ht="15.75">
      <c r="A807" s="181"/>
      <c r="B807" s="33" t="s">
        <v>1033</v>
      </c>
      <c r="C807" s="34" t="s">
        <v>43</v>
      </c>
      <c r="D807" s="35">
        <v>30</v>
      </c>
      <c r="E807" s="58">
        <v>50000</v>
      </c>
      <c r="F807" s="137">
        <v>1500000</v>
      </c>
      <c r="G807" s="103"/>
    </row>
    <row r="808" spans="1:7" ht="15.75">
      <c r="A808" s="17"/>
      <c r="B808" s="13" t="s">
        <v>1000</v>
      </c>
      <c r="C808" s="2" t="s">
        <v>43</v>
      </c>
      <c r="D808" s="9">
        <v>7</v>
      </c>
      <c r="E808" s="25">
        <v>600000</v>
      </c>
      <c r="F808" s="25">
        <v>4200000</v>
      </c>
      <c r="G808" s="93"/>
    </row>
    <row r="809" spans="1:7" ht="18.75">
      <c r="A809" s="11"/>
      <c r="B809" s="13" t="s">
        <v>135</v>
      </c>
      <c r="C809" s="4" t="s">
        <v>20</v>
      </c>
      <c r="D809" s="10">
        <v>20</v>
      </c>
      <c r="E809" s="25">
        <v>6000</v>
      </c>
      <c r="F809" s="25">
        <v>120000</v>
      </c>
      <c r="G809" s="93"/>
    </row>
    <row r="810" spans="1:7" ht="15.75">
      <c r="A810" s="11"/>
      <c r="B810" s="13" t="s">
        <v>1034</v>
      </c>
      <c r="C810" s="20" t="s">
        <v>43</v>
      </c>
      <c r="D810" s="10">
        <v>1</v>
      </c>
      <c r="E810" s="25">
        <v>800000</v>
      </c>
      <c r="F810" s="25">
        <v>800000</v>
      </c>
      <c r="G810" s="93"/>
    </row>
    <row r="811" spans="1:7" ht="31.5">
      <c r="A811" s="11"/>
      <c r="B811" s="13" t="s">
        <v>1035</v>
      </c>
      <c r="C811" s="20" t="s">
        <v>43</v>
      </c>
      <c r="D811" s="10">
        <v>3</v>
      </c>
      <c r="E811" s="25">
        <v>500000</v>
      </c>
      <c r="F811" s="25">
        <v>1500000</v>
      </c>
      <c r="G811" s="93"/>
    </row>
    <row r="812" spans="1:7" ht="31.5">
      <c r="A812" s="11"/>
      <c r="B812" s="13" t="s">
        <v>1036</v>
      </c>
      <c r="C812" s="20" t="s">
        <v>43</v>
      </c>
      <c r="D812" s="10">
        <v>2</v>
      </c>
      <c r="E812" s="25">
        <v>300000</v>
      </c>
      <c r="F812" s="25">
        <v>600000</v>
      </c>
      <c r="G812" s="93"/>
    </row>
    <row r="813" spans="1:7" ht="31.5">
      <c r="A813" s="11"/>
      <c r="B813" s="13" t="s">
        <v>1037</v>
      </c>
      <c r="C813" s="20" t="s">
        <v>43</v>
      </c>
      <c r="D813" s="10">
        <v>3</v>
      </c>
      <c r="E813" s="25">
        <v>100000</v>
      </c>
      <c r="F813" s="25">
        <v>300000</v>
      </c>
      <c r="G813" s="93"/>
    </row>
    <row r="814" spans="1:7" ht="15.75">
      <c r="A814" s="11"/>
      <c r="B814" s="13" t="s">
        <v>1038</v>
      </c>
      <c r="C814" s="20" t="s">
        <v>43</v>
      </c>
      <c r="D814" s="10">
        <v>1</v>
      </c>
      <c r="E814" s="25">
        <v>1200000</v>
      </c>
      <c r="F814" s="25">
        <v>1200000</v>
      </c>
      <c r="G814" s="93"/>
    </row>
    <row r="815" spans="1:7" ht="15.75">
      <c r="A815" s="11"/>
      <c r="B815" s="13" t="s">
        <v>1039</v>
      </c>
      <c r="C815" s="20" t="s">
        <v>43</v>
      </c>
      <c r="D815" s="10">
        <v>1</v>
      </c>
      <c r="E815" s="25">
        <v>800000</v>
      </c>
      <c r="F815" s="25">
        <v>800000</v>
      </c>
      <c r="G815" s="93"/>
    </row>
    <row r="816" spans="1:7" ht="31.5">
      <c r="A816" s="11"/>
      <c r="B816" s="13" t="s">
        <v>1040</v>
      </c>
      <c r="C816" s="20" t="s">
        <v>43</v>
      </c>
      <c r="D816" s="10">
        <v>1</v>
      </c>
      <c r="E816" s="25">
        <v>2000000</v>
      </c>
      <c r="F816" s="25">
        <v>2000000</v>
      </c>
      <c r="G816" s="93"/>
    </row>
    <row r="817" spans="1:7" ht="18.75">
      <c r="A817" s="11"/>
      <c r="B817" s="13" t="s">
        <v>440</v>
      </c>
      <c r="C817" s="4" t="s">
        <v>20</v>
      </c>
      <c r="D817" s="10">
        <v>2</v>
      </c>
      <c r="E817" s="25">
        <v>30000</v>
      </c>
      <c r="F817" s="25">
        <v>60000</v>
      </c>
      <c r="G817" s="93"/>
    </row>
    <row r="818" spans="1:7" ht="15.75">
      <c r="A818" s="11"/>
      <c r="B818" s="13" t="s">
        <v>1136</v>
      </c>
      <c r="C818" s="20" t="s">
        <v>43</v>
      </c>
      <c r="D818" s="10">
        <v>1</v>
      </c>
      <c r="E818" s="25">
        <v>300000</v>
      </c>
      <c r="F818" s="25">
        <v>300000</v>
      </c>
      <c r="G818" s="93"/>
    </row>
    <row r="819" spans="1:7" ht="18.75">
      <c r="A819" s="11"/>
      <c r="B819" s="13" t="s">
        <v>477</v>
      </c>
      <c r="C819" s="4" t="s">
        <v>20</v>
      </c>
      <c r="D819" s="10">
        <v>10</v>
      </c>
      <c r="E819" s="25">
        <v>39000</v>
      </c>
      <c r="F819" s="25">
        <v>390000</v>
      </c>
      <c r="G819" s="93"/>
    </row>
    <row r="820" spans="1:7" ht="18.75">
      <c r="A820" s="11"/>
      <c r="B820" s="13" t="s">
        <v>441</v>
      </c>
      <c r="C820" s="4" t="s">
        <v>20</v>
      </c>
      <c r="D820" s="10">
        <v>1</v>
      </c>
      <c r="E820" s="25">
        <v>60000</v>
      </c>
      <c r="F820" s="25">
        <v>60000</v>
      </c>
      <c r="G820" s="93"/>
    </row>
    <row r="821" spans="1:7" ht="15.75">
      <c r="A821" s="11"/>
      <c r="B821" s="13" t="s">
        <v>302</v>
      </c>
      <c r="C821" s="20" t="s">
        <v>145</v>
      </c>
      <c r="D821" s="10">
        <v>4</v>
      </c>
      <c r="E821" s="25">
        <v>240000</v>
      </c>
      <c r="F821" s="25">
        <v>960000</v>
      </c>
      <c r="G821" s="93"/>
    </row>
    <row r="822" spans="1:7" ht="15.75">
      <c r="A822" s="11"/>
      <c r="B822" s="13" t="s">
        <v>1041</v>
      </c>
      <c r="C822" s="20" t="s">
        <v>43</v>
      </c>
      <c r="D822" s="10">
        <v>1</v>
      </c>
      <c r="E822" s="25">
        <v>250000</v>
      </c>
      <c r="F822" s="25">
        <v>250000</v>
      </c>
      <c r="G822" s="93"/>
    </row>
    <row r="823" spans="1:7" ht="15.75">
      <c r="A823" s="11"/>
      <c r="B823" s="13" t="s">
        <v>1042</v>
      </c>
      <c r="C823" s="20" t="s">
        <v>43</v>
      </c>
      <c r="D823" s="10">
        <v>2</v>
      </c>
      <c r="E823" s="25">
        <v>1200000</v>
      </c>
      <c r="F823" s="25">
        <v>2400000</v>
      </c>
      <c r="G823" s="93"/>
    </row>
    <row r="824" spans="1:7" ht="15.75">
      <c r="A824" s="11"/>
      <c r="B824" s="12" t="s">
        <v>1043</v>
      </c>
      <c r="C824" s="20" t="s">
        <v>43</v>
      </c>
      <c r="D824" s="10">
        <v>1</v>
      </c>
      <c r="E824" s="24">
        <v>128000</v>
      </c>
      <c r="F824" s="25">
        <v>128000</v>
      </c>
      <c r="G824" s="93"/>
    </row>
    <row r="825" spans="2:7" ht="15.75">
      <c r="B825" s="13" t="s">
        <v>877</v>
      </c>
      <c r="C825" s="2" t="s">
        <v>43</v>
      </c>
      <c r="D825" s="9">
        <v>2</v>
      </c>
      <c r="E825" s="25">
        <v>600000</v>
      </c>
      <c r="F825" s="25">
        <v>1200000</v>
      </c>
      <c r="G825" s="93"/>
    </row>
    <row r="826" spans="1:7" ht="15.75">
      <c r="A826" s="17"/>
      <c r="B826" s="13" t="s">
        <v>827</v>
      </c>
      <c r="C826" s="2" t="s">
        <v>37</v>
      </c>
      <c r="D826" s="9">
        <v>15</v>
      </c>
      <c r="E826" s="25">
        <v>20000</v>
      </c>
      <c r="F826" s="25">
        <v>300000</v>
      </c>
      <c r="G826" s="94" t="s">
        <v>187</v>
      </c>
    </row>
    <row r="827" spans="1:7" ht="15.75">
      <c r="A827" s="17"/>
      <c r="B827" s="13" t="s">
        <v>829</v>
      </c>
      <c r="C827" s="2" t="s">
        <v>37</v>
      </c>
      <c r="D827" s="9">
        <v>15</v>
      </c>
      <c r="E827" s="25">
        <v>20000</v>
      </c>
      <c r="F827" s="25">
        <v>300000</v>
      </c>
      <c r="G827" s="94" t="s">
        <v>187</v>
      </c>
    </row>
    <row r="828" spans="1:7" ht="15.75">
      <c r="A828" s="17"/>
      <c r="B828" s="13" t="s">
        <v>830</v>
      </c>
      <c r="C828" s="2" t="s">
        <v>37</v>
      </c>
      <c r="D828" s="9">
        <v>15</v>
      </c>
      <c r="E828" s="25">
        <v>20000</v>
      </c>
      <c r="F828" s="25">
        <v>300000</v>
      </c>
      <c r="G828" s="94" t="s">
        <v>187</v>
      </c>
    </row>
    <row r="829" spans="1:7" ht="15.75">
      <c r="A829" s="17"/>
      <c r="B829" s="13" t="s">
        <v>839</v>
      </c>
      <c r="C829" s="2" t="s">
        <v>37</v>
      </c>
      <c r="D829" s="50">
        <v>1</v>
      </c>
      <c r="E829" s="25">
        <v>40000</v>
      </c>
      <c r="F829" s="25">
        <v>40000</v>
      </c>
      <c r="G829" s="94" t="s">
        <v>187</v>
      </c>
    </row>
    <row r="830" spans="1:7" ht="15.75">
      <c r="A830" s="17"/>
      <c r="B830" s="13" t="s">
        <v>845</v>
      </c>
      <c r="C830" s="2" t="s">
        <v>37</v>
      </c>
      <c r="D830" s="50">
        <v>1</v>
      </c>
      <c r="E830" s="25">
        <v>40000</v>
      </c>
      <c r="F830" s="25">
        <v>40000</v>
      </c>
      <c r="G830" s="94" t="s">
        <v>187</v>
      </c>
    </row>
    <row r="831" spans="1:7" ht="15.75">
      <c r="A831" s="17"/>
      <c r="B831" s="13" t="s">
        <v>828</v>
      </c>
      <c r="C831" s="2" t="s">
        <v>37</v>
      </c>
      <c r="D831" s="9">
        <v>3</v>
      </c>
      <c r="E831" s="25">
        <v>40000</v>
      </c>
      <c r="F831" s="25">
        <v>120000</v>
      </c>
      <c r="G831" s="94" t="s">
        <v>187</v>
      </c>
    </row>
    <row r="832" spans="1:7" ht="15.75">
      <c r="A832" s="17"/>
      <c r="B832" s="13" t="s">
        <v>833</v>
      </c>
      <c r="C832" s="2" t="s">
        <v>37</v>
      </c>
      <c r="D832" s="9">
        <v>4</v>
      </c>
      <c r="E832" s="25">
        <v>20000</v>
      </c>
      <c r="F832" s="25">
        <v>80000</v>
      </c>
      <c r="G832" s="94" t="s">
        <v>187</v>
      </c>
    </row>
    <row r="833" spans="1:7" ht="15.75">
      <c r="A833" s="17"/>
      <c r="B833" s="13" t="s">
        <v>827</v>
      </c>
      <c r="C833" s="2" t="s">
        <v>37</v>
      </c>
      <c r="D833" s="9">
        <v>7</v>
      </c>
      <c r="E833" s="25">
        <v>20000</v>
      </c>
      <c r="F833" s="25">
        <v>140000</v>
      </c>
      <c r="G833" s="94" t="s">
        <v>187</v>
      </c>
    </row>
    <row r="834" spans="1:7" ht="15.75">
      <c r="A834" s="17"/>
      <c r="B834" s="13" t="s">
        <v>829</v>
      </c>
      <c r="C834" s="2" t="s">
        <v>37</v>
      </c>
      <c r="D834" s="9">
        <v>2</v>
      </c>
      <c r="E834" s="25">
        <v>20000</v>
      </c>
      <c r="F834" s="25">
        <v>40000</v>
      </c>
      <c r="G834" s="94" t="s">
        <v>187</v>
      </c>
    </row>
    <row r="835" spans="1:7" ht="15.75">
      <c r="A835" s="17"/>
      <c r="B835" s="29" t="s">
        <v>1044</v>
      </c>
      <c r="C835" s="2" t="s">
        <v>43</v>
      </c>
      <c r="D835" s="9">
        <v>2</v>
      </c>
      <c r="E835" s="25">
        <v>682000</v>
      </c>
      <c r="F835" s="25">
        <v>1364000</v>
      </c>
      <c r="G835" s="93"/>
    </row>
    <row r="836" spans="1:7" ht="15.75">
      <c r="A836" s="17"/>
      <c r="B836" s="13" t="s">
        <v>830</v>
      </c>
      <c r="C836" s="2" t="s">
        <v>37</v>
      </c>
      <c r="D836" s="9">
        <v>3</v>
      </c>
      <c r="E836" s="25">
        <v>20000</v>
      </c>
      <c r="F836" s="25">
        <v>60000</v>
      </c>
      <c r="G836" s="94" t="s">
        <v>187</v>
      </c>
    </row>
    <row r="837" spans="1:7" ht="15.75">
      <c r="A837" s="17"/>
      <c r="B837" s="13" t="s">
        <v>829</v>
      </c>
      <c r="C837" s="2" t="s">
        <v>37</v>
      </c>
      <c r="D837" s="9">
        <v>4</v>
      </c>
      <c r="E837" s="25">
        <v>20000</v>
      </c>
      <c r="F837" s="25">
        <v>80000</v>
      </c>
      <c r="G837" s="94" t="s">
        <v>187</v>
      </c>
    </row>
    <row r="838" spans="1:7" ht="15.75">
      <c r="A838" s="17"/>
      <c r="B838" s="13" t="s">
        <v>827</v>
      </c>
      <c r="C838" s="2" t="s">
        <v>37</v>
      </c>
      <c r="D838" s="9">
        <v>5</v>
      </c>
      <c r="E838" s="25">
        <v>20000</v>
      </c>
      <c r="F838" s="25">
        <v>100000</v>
      </c>
      <c r="G838" s="94" t="s">
        <v>187</v>
      </c>
    </row>
    <row r="839" spans="1:7" ht="15.75">
      <c r="A839" s="17"/>
      <c r="B839" s="13" t="s">
        <v>833</v>
      </c>
      <c r="C839" s="2" t="s">
        <v>37</v>
      </c>
      <c r="D839" s="9">
        <v>2</v>
      </c>
      <c r="E839" s="25">
        <v>20000</v>
      </c>
      <c r="F839" s="25">
        <v>40000</v>
      </c>
      <c r="G839" s="94" t="s">
        <v>187</v>
      </c>
    </row>
    <row r="840" spans="1:7" ht="31.5">
      <c r="A840" s="17"/>
      <c r="B840" s="29" t="s">
        <v>1045</v>
      </c>
      <c r="C840" s="2" t="s">
        <v>43</v>
      </c>
      <c r="D840" s="9">
        <v>1</v>
      </c>
      <c r="E840" s="25">
        <v>60000</v>
      </c>
      <c r="F840" s="25">
        <v>60000</v>
      </c>
      <c r="G840" s="93"/>
    </row>
    <row r="841" spans="1:7" ht="15.75">
      <c r="A841" s="17"/>
      <c r="B841" s="13" t="s">
        <v>1046</v>
      </c>
      <c r="C841" s="2" t="s">
        <v>43</v>
      </c>
      <c r="D841" s="9">
        <v>1</v>
      </c>
      <c r="E841" s="25">
        <v>300000</v>
      </c>
      <c r="F841" s="25">
        <v>300000</v>
      </c>
      <c r="G841" s="93"/>
    </row>
    <row r="842" spans="1:7" ht="15.75">
      <c r="A842" s="17"/>
      <c r="B842" s="13" t="s">
        <v>1047</v>
      </c>
      <c r="C842" s="2" t="s">
        <v>43</v>
      </c>
      <c r="D842" s="9">
        <v>1</v>
      </c>
      <c r="E842" s="25">
        <v>128000</v>
      </c>
      <c r="F842" s="25">
        <v>128000</v>
      </c>
      <c r="G842" s="93"/>
    </row>
    <row r="843" spans="1:7" ht="15.75">
      <c r="A843" s="11"/>
      <c r="B843" s="13" t="s">
        <v>999</v>
      </c>
      <c r="C843" s="2" t="s">
        <v>43</v>
      </c>
      <c r="D843" s="10">
        <v>1</v>
      </c>
      <c r="E843" s="25">
        <v>180000</v>
      </c>
      <c r="F843" s="25">
        <v>180000</v>
      </c>
      <c r="G843" s="93"/>
    </row>
    <row r="844" spans="1:7" ht="15.75">
      <c r="A844" s="11"/>
      <c r="B844" s="13" t="s">
        <v>1048</v>
      </c>
      <c r="C844" s="2" t="s">
        <v>43</v>
      </c>
      <c r="D844" s="10">
        <v>1</v>
      </c>
      <c r="E844" s="25">
        <v>40000</v>
      </c>
      <c r="F844" s="25">
        <v>40000</v>
      </c>
      <c r="G844" s="93"/>
    </row>
    <row r="845" spans="1:7" ht="31.5">
      <c r="A845" s="11"/>
      <c r="B845" s="13" t="s">
        <v>1049</v>
      </c>
      <c r="C845" s="2" t="s">
        <v>43</v>
      </c>
      <c r="D845" s="10">
        <v>1</v>
      </c>
      <c r="E845" s="25">
        <v>200000</v>
      </c>
      <c r="F845" s="25">
        <v>200000</v>
      </c>
      <c r="G845" s="93"/>
    </row>
    <row r="846" spans="1:7" ht="18.75">
      <c r="A846" s="11"/>
      <c r="B846" s="13" t="s">
        <v>201</v>
      </c>
      <c r="C846" s="4" t="s">
        <v>20</v>
      </c>
      <c r="D846" s="10">
        <v>2</v>
      </c>
      <c r="E846" s="25">
        <v>30000</v>
      </c>
      <c r="F846" s="25">
        <v>60000</v>
      </c>
      <c r="G846" s="93"/>
    </row>
    <row r="847" spans="1:7" ht="18.75">
      <c r="A847" s="11"/>
      <c r="B847" s="13" t="s">
        <v>171</v>
      </c>
      <c r="C847" s="4" t="s">
        <v>20</v>
      </c>
      <c r="D847" s="10">
        <v>1</v>
      </c>
      <c r="E847" s="25">
        <v>60000</v>
      </c>
      <c r="F847" s="25">
        <v>60000</v>
      </c>
      <c r="G847" s="93"/>
    </row>
    <row r="848" spans="2:7" ht="15.75">
      <c r="B848" s="13" t="s">
        <v>827</v>
      </c>
      <c r="C848" s="2" t="s">
        <v>37</v>
      </c>
      <c r="D848" s="9">
        <v>3</v>
      </c>
      <c r="E848" s="25">
        <v>20000</v>
      </c>
      <c r="F848" s="25">
        <v>60000</v>
      </c>
      <c r="G848" s="94" t="s">
        <v>187</v>
      </c>
    </row>
    <row r="849" spans="1:7" ht="15.75">
      <c r="A849" s="3"/>
      <c r="B849" s="13" t="s">
        <v>847</v>
      </c>
      <c r="C849" s="2" t="s">
        <v>37</v>
      </c>
      <c r="D849" s="9">
        <v>12</v>
      </c>
      <c r="E849" s="25">
        <v>20000</v>
      </c>
      <c r="F849" s="25">
        <v>240000</v>
      </c>
      <c r="G849" s="94" t="s">
        <v>187</v>
      </c>
    </row>
    <row r="850" spans="1:7" ht="15.75">
      <c r="A850" s="40"/>
      <c r="B850" s="12" t="s">
        <v>847</v>
      </c>
      <c r="C850" s="2" t="s">
        <v>37</v>
      </c>
      <c r="D850" s="9">
        <v>8</v>
      </c>
      <c r="E850" s="25">
        <v>20000</v>
      </c>
      <c r="F850" s="25">
        <v>160000</v>
      </c>
      <c r="G850" s="94" t="s">
        <v>187</v>
      </c>
    </row>
    <row r="851" spans="2:7" ht="15.75">
      <c r="B851" s="12" t="s">
        <v>848</v>
      </c>
      <c r="C851" s="2" t="s">
        <v>37</v>
      </c>
      <c r="D851" s="9">
        <v>2</v>
      </c>
      <c r="E851" s="25">
        <v>40000</v>
      </c>
      <c r="F851" s="25">
        <v>80000</v>
      </c>
      <c r="G851" s="94" t="s">
        <v>187</v>
      </c>
    </row>
    <row r="852" spans="1:7" ht="18.75">
      <c r="A852" s="11"/>
      <c r="B852" s="12" t="s">
        <v>177</v>
      </c>
      <c r="C852" s="4" t="s">
        <v>20</v>
      </c>
      <c r="D852" s="10">
        <v>0.5</v>
      </c>
      <c r="E852" s="25">
        <v>6000</v>
      </c>
      <c r="F852" s="25">
        <v>3000</v>
      </c>
      <c r="G852" s="93"/>
    </row>
    <row r="853" spans="1:7" ht="15.75">
      <c r="A853" s="17"/>
      <c r="B853" s="13" t="s">
        <v>848</v>
      </c>
      <c r="C853" s="2" t="s">
        <v>37</v>
      </c>
      <c r="D853" s="9">
        <v>8</v>
      </c>
      <c r="E853" s="25">
        <v>40000</v>
      </c>
      <c r="F853" s="25">
        <v>320000</v>
      </c>
      <c r="G853" s="94" t="s">
        <v>187</v>
      </c>
    </row>
    <row r="854" spans="1:7" ht="15.75">
      <c r="A854" s="17"/>
      <c r="B854" s="13" t="s">
        <v>847</v>
      </c>
      <c r="C854" s="2" t="s">
        <v>37</v>
      </c>
      <c r="D854" s="9">
        <v>12</v>
      </c>
      <c r="E854" s="25">
        <v>20000</v>
      </c>
      <c r="F854" s="25">
        <v>240000</v>
      </c>
      <c r="G854" s="94" t="s">
        <v>187</v>
      </c>
    </row>
    <row r="855" spans="1:7" ht="15.75">
      <c r="A855" s="17"/>
      <c r="B855" s="13" t="s">
        <v>847</v>
      </c>
      <c r="C855" s="2" t="s">
        <v>117</v>
      </c>
      <c r="D855" s="9">
        <v>13</v>
      </c>
      <c r="E855" s="25">
        <v>20000</v>
      </c>
      <c r="F855" s="25">
        <v>260000</v>
      </c>
      <c r="G855" s="94" t="s">
        <v>187</v>
      </c>
    </row>
    <row r="856" spans="1:7" ht="15.75">
      <c r="A856" s="17"/>
      <c r="B856" s="13" t="s">
        <v>848</v>
      </c>
      <c r="C856" s="2" t="s">
        <v>37</v>
      </c>
      <c r="D856" s="9">
        <v>1</v>
      </c>
      <c r="E856" s="25">
        <v>40000</v>
      </c>
      <c r="F856" s="25">
        <v>40000</v>
      </c>
      <c r="G856" s="94" t="s">
        <v>187</v>
      </c>
    </row>
    <row r="857" spans="1:7" ht="15.75">
      <c r="A857" s="40"/>
      <c r="B857" s="12" t="s">
        <v>272</v>
      </c>
      <c r="C857" s="2" t="s">
        <v>145</v>
      </c>
      <c r="D857" s="9">
        <v>1</v>
      </c>
      <c r="E857" s="24">
        <v>160000</v>
      </c>
      <c r="F857" s="25">
        <v>160000</v>
      </c>
      <c r="G857" s="93"/>
    </row>
    <row r="858" spans="2:7" ht="15.75">
      <c r="B858" s="12" t="s">
        <v>1050</v>
      </c>
      <c r="C858" s="2" t="s">
        <v>43</v>
      </c>
      <c r="D858" s="9">
        <v>2</v>
      </c>
      <c r="E858" s="25">
        <v>293000</v>
      </c>
      <c r="F858" s="25">
        <v>586000</v>
      </c>
      <c r="G858" s="93"/>
    </row>
    <row r="859" spans="2:7" ht="15.75">
      <c r="B859" s="12" t="s">
        <v>1051</v>
      </c>
      <c r="C859" s="2" t="s">
        <v>43</v>
      </c>
      <c r="D859" s="10">
        <v>1</v>
      </c>
      <c r="E859" s="24">
        <v>202000</v>
      </c>
      <c r="F859" s="25">
        <v>202000</v>
      </c>
      <c r="G859" s="93"/>
    </row>
    <row r="860" spans="1:7" ht="15.75">
      <c r="A860" s="11"/>
      <c r="B860" s="12" t="s">
        <v>1052</v>
      </c>
      <c r="C860" s="2" t="s">
        <v>43</v>
      </c>
      <c r="D860" s="10">
        <v>1</v>
      </c>
      <c r="E860" s="24">
        <v>202000</v>
      </c>
      <c r="F860" s="25">
        <v>202000</v>
      </c>
      <c r="G860" s="93"/>
    </row>
    <row r="861" spans="1:7" ht="15.75">
      <c r="A861" s="11"/>
      <c r="B861" s="12" t="s">
        <v>1053</v>
      </c>
      <c r="C861" s="2" t="s">
        <v>43</v>
      </c>
      <c r="D861" s="10">
        <v>3</v>
      </c>
      <c r="E861" s="24">
        <v>200000</v>
      </c>
      <c r="F861" s="25">
        <v>600000</v>
      </c>
      <c r="G861" s="93"/>
    </row>
    <row r="862" spans="1:7" ht="15.75">
      <c r="A862" s="11"/>
      <c r="B862" s="12" t="s">
        <v>1054</v>
      </c>
      <c r="C862" s="2" t="s">
        <v>43</v>
      </c>
      <c r="D862" s="10">
        <v>3</v>
      </c>
      <c r="E862" s="24">
        <v>575000</v>
      </c>
      <c r="F862" s="25">
        <v>1725000</v>
      </c>
      <c r="G862" s="93"/>
    </row>
    <row r="863" spans="1:7" ht="15.75">
      <c r="A863" s="11"/>
      <c r="B863" s="12" t="s">
        <v>1047</v>
      </c>
      <c r="C863" s="2" t="s">
        <v>43</v>
      </c>
      <c r="D863" s="10">
        <v>1</v>
      </c>
      <c r="E863" s="25">
        <v>128000</v>
      </c>
      <c r="F863" s="25">
        <v>128000</v>
      </c>
      <c r="G863" s="93"/>
    </row>
    <row r="864" spans="1:7" ht="15.75">
      <c r="A864" s="11"/>
      <c r="B864" s="12" t="s">
        <v>1041</v>
      </c>
      <c r="C864" s="2" t="s">
        <v>43</v>
      </c>
      <c r="D864" s="10">
        <v>2</v>
      </c>
      <c r="E864" s="24">
        <v>250000</v>
      </c>
      <c r="F864" s="25">
        <v>500000</v>
      </c>
      <c r="G864" s="93"/>
    </row>
    <row r="865" spans="1:7" ht="15.75">
      <c r="A865" s="11"/>
      <c r="B865" s="12" t="s">
        <v>1048</v>
      </c>
      <c r="C865" s="2" t="s">
        <v>43</v>
      </c>
      <c r="D865" s="10">
        <v>3</v>
      </c>
      <c r="E865" s="25">
        <v>40000</v>
      </c>
      <c r="F865" s="25">
        <v>120000</v>
      </c>
      <c r="G865" s="93"/>
    </row>
    <row r="866" spans="1:7" ht="15.75">
      <c r="A866" s="11"/>
      <c r="B866" s="12" t="s">
        <v>1055</v>
      </c>
      <c r="C866" s="2" t="s">
        <v>43</v>
      </c>
      <c r="D866" s="10">
        <v>1</v>
      </c>
      <c r="E866" s="24">
        <v>200000</v>
      </c>
      <c r="F866" s="25">
        <v>200000</v>
      </c>
      <c r="G866" s="93"/>
    </row>
    <row r="867" spans="1:7" ht="15.75">
      <c r="A867" s="11"/>
      <c r="B867" s="12" t="s">
        <v>1056</v>
      </c>
      <c r="C867" s="2" t="s">
        <v>43</v>
      </c>
      <c r="D867" s="10">
        <v>1</v>
      </c>
      <c r="E867" s="24">
        <v>200000</v>
      </c>
      <c r="F867" s="25">
        <v>200000</v>
      </c>
      <c r="G867" s="93"/>
    </row>
    <row r="868" spans="1:7" ht="15.75">
      <c r="A868" s="11"/>
      <c r="B868" s="12" t="s">
        <v>1057</v>
      </c>
      <c r="C868" s="2" t="s">
        <v>43</v>
      </c>
      <c r="D868" s="10">
        <v>1</v>
      </c>
      <c r="E868" s="24">
        <v>200000</v>
      </c>
      <c r="F868" s="25">
        <v>200000</v>
      </c>
      <c r="G868" s="93"/>
    </row>
    <row r="869" spans="1:7" ht="15.75">
      <c r="A869" s="11"/>
      <c r="B869" s="12" t="s">
        <v>830</v>
      </c>
      <c r="C869" s="4" t="s">
        <v>37</v>
      </c>
      <c r="D869" s="10">
        <v>3</v>
      </c>
      <c r="E869" s="24">
        <v>20000</v>
      </c>
      <c r="F869" s="25">
        <v>60000</v>
      </c>
      <c r="G869" s="94" t="s">
        <v>187</v>
      </c>
    </row>
    <row r="870" spans="1:7" ht="15.75">
      <c r="A870" s="17"/>
      <c r="B870" s="13" t="s">
        <v>851</v>
      </c>
      <c r="C870" s="2" t="s">
        <v>43</v>
      </c>
      <c r="D870" s="9">
        <v>2</v>
      </c>
      <c r="E870" s="25">
        <v>600000</v>
      </c>
      <c r="F870" s="25">
        <v>1200000</v>
      </c>
      <c r="G870" s="93"/>
    </row>
    <row r="871" spans="1:7" ht="18.75">
      <c r="A871" s="17"/>
      <c r="B871" s="13" t="s">
        <v>253</v>
      </c>
      <c r="C871" s="4" t="s">
        <v>20</v>
      </c>
      <c r="D871" s="9">
        <v>1</v>
      </c>
      <c r="E871" s="25">
        <v>30000</v>
      </c>
      <c r="F871" s="25">
        <v>30000</v>
      </c>
      <c r="G871" s="93"/>
    </row>
    <row r="872" spans="1:7" ht="15.75">
      <c r="A872" s="17"/>
      <c r="B872" s="13" t="s">
        <v>848</v>
      </c>
      <c r="C872" s="2" t="s">
        <v>37</v>
      </c>
      <c r="D872" s="9">
        <v>4</v>
      </c>
      <c r="E872" s="25">
        <v>40000</v>
      </c>
      <c r="F872" s="25">
        <v>160000</v>
      </c>
      <c r="G872" s="94" t="s">
        <v>187</v>
      </c>
    </row>
    <row r="873" spans="1:7" ht="15.75">
      <c r="A873" s="17"/>
      <c r="B873" s="13" t="s">
        <v>847</v>
      </c>
      <c r="C873" s="2" t="s">
        <v>37</v>
      </c>
      <c r="D873" s="9">
        <v>25</v>
      </c>
      <c r="E873" s="25">
        <v>20000</v>
      </c>
      <c r="F873" s="25">
        <v>500000</v>
      </c>
      <c r="G873" s="94" t="s">
        <v>187</v>
      </c>
    </row>
    <row r="874" spans="1:7" ht="15.75">
      <c r="A874" s="17"/>
      <c r="B874" s="13" t="s">
        <v>852</v>
      </c>
      <c r="C874" s="2" t="s">
        <v>43</v>
      </c>
      <c r="D874" s="9">
        <v>1</v>
      </c>
      <c r="E874" s="25">
        <v>600000</v>
      </c>
      <c r="F874" s="25">
        <v>600000</v>
      </c>
      <c r="G874" s="93"/>
    </row>
    <row r="875" spans="1:7" ht="31.5">
      <c r="A875" s="17"/>
      <c r="B875" s="13" t="s">
        <v>1058</v>
      </c>
      <c r="C875" s="2" t="s">
        <v>43</v>
      </c>
      <c r="D875" s="9">
        <v>1</v>
      </c>
      <c r="E875" s="25">
        <v>600000</v>
      </c>
      <c r="F875" s="25">
        <v>600000</v>
      </c>
      <c r="G875" s="93"/>
    </row>
    <row r="876" spans="1:7" ht="15.75">
      <c r="A876" s="17"/>
      <c r="B876" s="13" t="s">
        <v>203</v>
      </c>
      <c r="C876" s="2" t="s">
        <v>145</v>
      </c>
      <c r="D876" s="9">
        <v>2</v>
      </c>
      <c r="E876" s="25">
        <v>96000</v>
      </c>
      <c r="F876" s="25">
        <v>192000</v>
      </c>
      <c r="G876" s="93"/>
    </row>
    <row r="877" spans="1:7" ht="15.75">
      <c r="A877" s="17"/>
      <c r="B877" s="13" t="s">
        <v>1048</v>
      </c>
      <c r="C877" s="2" t="s">
        <v>43</v>
      </c>
      <c r="D877" s="9">
        <v>1</v>
      </c>
      <c r="E877" s="25">
        <v>40000</v>
      </c>
      <c r="F877" s="25">
        <v>40000</v>
      </c>
      <c r="G877" s="93"/>
    </row>
    <row r="878" spans="1:7" ht="15.75">
      <c r="A878" s="17"/>
      <c r="B878" s="13" t="s">
        <v>1059</v>
      </c>
      <c r="C878" s="2" t="s">
        <v>43</v>
      </c>
      <c r="D878" s="9">
        <v>1</v>
      </c>
      <c r="E878" s="25">
        <v>250000</v>
      </c>
      <c r="F878" s="25">
        <v>250000</v>
      </c>
      <c r="G878" s="93"/>
    </row>
    <row r="879" spans="1:7" ht="15.75">
      <c r="A879" s="17"/>
      <c r="B879" s="13" t="s">
        <v>1060</v>
      </c>
      <c r="C879" s="2" t="s">
        <v>43</v>
      </c>
      <c r="D879" s="9">
        <v>1</v>
      </c>
      <c r="E879" s="25">
        <v>682000</v>
      </c>
      <c r="F879" s="25">
        <v>682000</v>
      </c>
      <c r="G879" s="93"/>
    </row>
    <row r="880" spans="1:7" ht="15.75">
      <c r="A880" s="17"/>
      <c r="B880" s="13" t="s">
        <v>1061</v>
      </c>
      <c r="C880" s="2" t="s">
        <v>43</v>
      </c>
      <c r="D880" s="9">
        <v>1</v>
      </c>
      <c r="E880" s="25">
        <v>1300000</v>
      </c>
      <c r="F880" s="25">
        <v>1300000</v>
      </c>
      <c r="G880" s="93"/>
    </row>
    <row r="881" spans="1:7" ht="15.75">
      <c r="A881" s="17"/>
      <c r="B881" s="13" t="s">
        <v>1137</v>
      </c>
      <c r="C881" s="2" t="s">
        <v>43</v>
      </c>
      <c r="D881" s="9">
        <v>1</v>
      </c>
      <c r="E881" s="25">
        <v>160000</v>
      </c>
      <c r="F881" s="25">
        <v>160000</v>
      </c>
      <c r="G881" s="93"/>
    </row>
    <row r="882" spans="1:7" ht="15.75">
      <c r="A882" s="17"/>
      <c r="B882" s="29" t="s">
        <v>1062</v>
      </c>
      <c r="C882" s="49" t="s">
        <v>43</v>
      </c>
      <c r="D882" s="50">
        <v>2</v>
      </c>
      <c r="E882" s="125">
        <v>3000000</v>
      </c>
      <c r="F882" s="125">
        <v>6000000</v>
      </c>
      <c r="G882" s="93"/>
    </row>
    <row r="883" spans="1:7" ht="15.75">
      <c r="A883" s="17"/>
      <c r="B883" s="13" t="s">
        <v>1041</v>
      </c>
      <c r="C883" s="2" t="s">
        <v>43</v>
      </c>
      <c r="D883" s="9">
        <v>3</v>
      </c>
      <c r="E883" s="25">
        <v>250000</v>
      </c>
      <c r="F883" s="25">
        <v>750000</v>
      </c>
      <c r="G883" s="93"/>
    </row>
    <row r="884" spans="1:7" ht="15.75">
      <c r="A884" s="17"/>
      <c r="B884" s="13" t="s">
        <v>847</v>
      </c>
      <c r="C884" s="2" t="s">
        <v>37</v>
      </c>
      <c r="D884" s="9">
        <v>48</v>
      </c>
      <c r="E884" s="25">
        <v>20000</v>
      </c>
      <c r="F884" s="25">
        <v>960000</v>
      </c>
      <c r="G884" s="94" t="s">
        <v>187</v>
      </c>
    </row>
    <row r="885" spans="1:7" ht="15.75">
      <c r="A885" s="17"/>
      <c r="B885" s="13" t="s">
        <v>848</v>
      </c>
      <c r="C885" s="2" t="s">
        <v>37</v>
      </c>
      <c r="D885" s="9">
        <v>14</v>
      </c>
      <c r="E885" s="25">
        <v>40000</v>
      </c>
      <c r="F885" s="25">
        <v>560000</v>
      </c>
      <c r="G885" s="94" t="s">
        <v>187</v>
      </c>
    </row>
    <row r="886" spans="1:7" ht="15.75">
      <c r="A886" s="17"/>
      <c r="B886" s="13" t="s">
        <v>1000</v>
      </c>
      <c r="C886" s="2" t="s">
        <v>43</v>
      </c>
      <c r="D886" s="9">
        <v>5</v>
      </c>
      <c r="E886" s="25">
        <v>600000</v>
      </c>
      <c r="F886" s="25">
        <v>3000000</v>
      </c>
      <c r="G886" s="93"/>
    </row>
    <row r="887" spans="1:7" ht="15.75">
      <c r="A887" s="17"/>
      <c r="B887" s="13" t="s">
        <v>1063</v>
      </c>
      <c r="C887" s="2" t="s">
        <v>43</v>
      </c>
      <c r="D887" s="9">
        <v>1</v>
      </c>
      <c r="E887" s="25">
        <v>600000</v>
      </c>
      <c r="F887" s="25">
        <v>600000</v>
      </c>
      <c r="G887" s="93"/>
    </row>
    <row r="888" spans="1:7" ht="15.75">
      <c r="A888" s="17"/>
      <c r="B888" s="13" t="s">
        <v>972</v>
      </c>
      <c r="C888" s="2" t="s">
        <v>43</v>
      </c>
      <c r="D888" s="9">
        <v>3</v>
      </c>
      <c r="E888" s="25">
        <v>300000</v>
      </c>
      <c r="F888" s="25">
        <v>900000</v>
      </c>
      <c r="G888" s="93"/>
    </row>
    <row r="889" spans="1:7" ht="15.75">
      <c r="A889" s="17"/>
      <c r="B889" s="13" t="s">
        <v>1064</v>
      </c>
      <c r="C889" s="2" t="s">
        <v>43</v>
      </c>
      <c r="D889" s="9">
        <v>4</v>
      </c>
      <c r="E889" s="25">
        <v>2000000</v>
      </c>
      <c r="F889" s="25">
        <v>8000000</v>
      </c>
      <c r="G889" s="93"/>
    </row>
    <row r="890" spans="1:7" ht="15.75">
      <c r="A890" s="17"/>
      <c r="B890" s="13" t="s">
        <v>1065</v>
      </c>
      <c r="C890" s="2" t="s">
        <v>43</v>
      </c>
      <c r="D890" s="9">
        <v>5</v>
      </c>
      <c r="E890" s="25">
        <v>600000</v>
      </c>
      <c r="F890" s="25">
        <v>3000000</v>
      </c>
      <c r="G890" s="93"/>
    </row>
    <row r="891" spans="1:7" ht="15.75">
      <c r="A891" s="17"/>
      <c r="B891" s="13" t="s">
        <v>1066</v>
      </c>
      <c r="C891" s="2" t="s">
        <v>43</v>
      </c>
      <c r="D891" s="9">
        <v>2</v>
      </c>
      <c r="E891" s="25">
        <v>1200000</v>
      </c>
      <c r="F891" s="25">
        <v>2400000</v>
      </c>
      <c r="G891" s="93"/>
    </row>
    <row r="892" spans="1:7" ht="15.75">
      <c r="A892" s="17"/>
      <c r="B892" s="13" t="s">
        <v>265</v>
      </c>
      <c r="C892" s="2" t="s">
        <v>145</v>
      </c>
      <c r="D892" s="9">
        <v>1</v>
      </c>
      <c r="E892" s="24">
        <v>160000</v>
      </c>
      <c r="F892" s="25">
        <v>160000</v>
      </c>
      <c r="G892" s="93"/>
    </row>
    <row r="893" spans="1:7" ht="18.75">
      <c r="A893" s="17"/>
      <c r="B893" s="11" t="s">
        <v>798</v>
      </c>
      <c r="C893" s="8" t="s">
        <v>20</v>
      </c>
      <c r="D893" s="7">
        <v>8180.3</v>
      </c>
      <c r="E893" s="24">
        <v>5400</v>
      </c>
      <c r="F893" s="25">
        <v>44173620</v>
      </c>
      <c r="G893" s="93"/>
    </row>
    <row r="894" spans="2:7" ht="15.75">
      <c r="B894" s="12" t="s">
        <v>854</v>
      </c>
      <c r="C894" s="2" t="s">
        <v>43</v>
      </c>
      <c r="D894" s="9">
        <v>15</v>
      </c>
      <c r="E894" s="25">
        <v>600000</v>
      </c>
      <c r="F894" s="25">
        <v>9000000</v>
      </c>
      <c r="G894" s="93"/>
    </row>
    <row r="895" spans="1:7" ht="47.25">
      <c r="A895" s="17" t="s">
        <v>270</v>
      </c>
      <c r="B895" s="12" t="s">
        <v>269</v>
      </c>
      <c r="C895" s="2"/>
      <c r="D895" s="9"/>
      <c r="E895" s="25"/>
      <c r="F895" s="25"/>
      <c r="G895" s="90"/>
    </row>
    <row r="896" spans="1:7" ht="15.75">
      <c r="A896" s="17"/>
      <c r="B896" s="11" t="s">
        <v>1048</v>
      </c>
      <c r="C896" s="8" t="s">
        <v>43</v>
      </c>
      <c r="D896" s="10">
        <v>3</v>
      </c>
      <c r="E896" s="25">
        <v>40000</v>
      </c>
      <c r="F896" s="25">
        <v>120000</v>
      </c>
      <c r="G896" s="93"/>
    </row>
    <row r="897" spans="1:7" ht="18.75">
      <c r="A897" s="11"/>
      <c r="B897" s="12" t="s">
        <v>177</v>
      </c>
      <c r="C897" s="4" t="s">
        <v>20</v>
      </c>
      <c r="D897" s="9">
        <v>2</v>
      </c>
      <c r="E897" s="25">
        <v>6000</v>
      </c>
      <c r="F897" s="25">
        <v>12000</v>
      </c>
      <c r="G897" s="93"/>
    </row>
    <row r="898" spans="1:7" ht="15.75">
      <c r="A898" s="17"/>
      <c r="B898" s="13" t="s">
        <v>1067</v>
      </c>
      <c r="C898" s="2" t="s">
        <v>43</v>
      </c>
      <c r="D898" s="9">
        <v>1</v>
      </c>
      <c r="E898" s="129">
        <v>3000000</v>
      </c>
      <c r="F898" s="25">
        <v>3000000</v>
      </c>
      <c r="G898" s="93"/>
    </row>
    <row r="899" spans="1:7" ht="15.75">
      <c r="A899" s="11"/>
      <c r="B899" s="13" t="s">
        <v>855</v>
      </c>
      <c r="C899" s="8" t="s">
        <v>43</v>
      </c>
      <c r="D899" s="10">
        <v>1</v>
      </c>
      <c r="E899" s="25">
        <v>300000</v>
      </c>
      <c r="F899" s="25">
        <v>300000</v>
      </c>
      <c r="G899" s="93"/>
    </row>
    <row r="900" spans="1:7" ht="15.75">
      <c r="A900" s="17"/>
      <c r="B900" s="13" t="s">
        <v>848</v>
      </c>
      <c r="C900" s="2" t="s">
        <v>37</v>
      </c>
      <c r="D900" s="9">
        <v>15</v>
      </c>
      <c r="E900" s="25">
        <v>40000</v>
      </c>
      <c r="F900" s="25">
        <v>600000</v>
      </c>
      <c r="G900" s="94" t="s">
        <v>187</v>
      </c>
    </row>
    <row r="901" spans="1:7" ht="15.75">
      <c r="A901" s="17"/>
      <c r="B901" s="13" t="s">
        <v>847</v>
      </c>
      <c r="C901" s="2" t="s">
        <v>37</v>
      </c>
      <c r="D901" s="9">
        <v>35</v>
      </c>
      <c r="E901" s="25">
        <v>20000</v>
      </c>
      <c r="F901" s="25">
        <v>700000</v>
      </c>
      <c r="G901" s="94" t="s">
        <v>187</v>
      </c>
    </row>
    <row r="902" spans="1:7" ht="15.75">
      <c r="A902" s="17"/>
      <c r="B902" s="13" t="s">
        <v>1048</v>
      </c>
      <c r="C902" s="2" t="s">
        <v>43</v>
      </c>
      <c r="D902" s="9">
        <v>1</v>
      </c>
      <c r="E902" s="25">
        <v>40000</v>
      </c>
      <c r="F902" s="25">
        <v>40000</v>
      </c>
      <c r="G902" s="93"/>
    </row>
    <row r="903" spans="1:7" ht="15.75">
      <c r="A903" s="17"/>
      <c r="B903" s="13" t="s">
        <v>1013</v>
      </c>
      <c r="C903" s="2" t="s">
        <v>43</v>
      </c>
      <c r="D903" s="9">
        <v>1</v>
      </c>
      <c r="E903" s="25">
        <v>600000</v>
      </c>
      <c r="F903" s="25">
        <v>600000</v>
      </c>
      <c r="G903" s="93"/>
    </row>
    <row r="904" spans="1:7" ht="15.75">
      <c r="A904" s="17"/>
      <c r="B904" s="13" t="s">
        <v>833</v>
      </c>
      <c r="C904" s="2" t="s">
        <v>37</v>
      </c>
      <c r="D904" s="9">
        <v>2</v>
      </c>
      <c r="E904" s="25">
        <v>20000</v>
      </c>
      <c r="F904" s="25">
        <v>40000</v>
      </c>
      <c r="G904" s="94" t="s">
        <v>187</v>
      </c>
    </row>
    <row r="905" spans="1:7" ht="15.75">
      <c r="A905" s="17"/>
      <c r="B905" s="13" t="s">
        <v>827</v>
      </c>
      <c r="C905" s="2" t="s">
        <v>37</v>
      </c>
      <c r="D905" s="9">
        <v>2</v>
      </c>
      <c r="E905" s="25">
        <v>20000</v>
      </c>
      <c r="F905" s="25">
        <v>40000</v>
      </c>
      <c r="G905" s="94" t="s">
        <v>187</v>
      </c>
    </row>
    <row r="906" spans="1:7" ht="15.75">
      <c r="A906" s="17"/>
      <c r="B906" s="13" t="s">
        <v>829</v>
      </c>
      <c r="C906" s="2" t="s">
        <v>37</v>
      </c>
      <c r="D906" s="9">
        <v>3</v>
      </c>
      <c r="E906" s="25">
        <v>20000</v>
      </c>
      <c r="F906" s="25">
        <v>60000</v>
      </c>
      <c r="G906" s="94" t="s">
        <v>187</v>
      </c>
    </row>
    <row r="907" spans="1:7" ht="15.75">
      <c r="A907" s="17"/>
      <c r="B907" s="13" t="s">
        <v>830</v>
      </c>
      <c r="C907" s="2" t="s">
        <v>37</v>
      </c>
      <c r="D907" s="9">
        <v>5</v>
      </c>
      <c r="E907" s="25">
        <v>20000</v>
      </c>
      <c r="F907" s="25">
        <v>100000</v>
      </c>
      <c r="G907" s="94" t="s">
        <v>187</v>
      </c>
    </row>
    <row r="908" spans="1:7" ht="15.75">
      <c r="A908" s="17"/>
      <c r="B908" s="13" t="s">
        <v>831</v>
      </c>
      <c r="C908" s="2" t="s">
        <v>37</v>
      </c>
      <c r="D908" s="9">
        <v>8</v>
      </c>
      <c r="E908" s="25">
        <v>10000</v>
      </c>
      <c r="F908" s="25">
        <v>80000</v>
      </c>
      <c r="G908" s="94" t="s">
        <v>187</v>
      </c>
    </row>
    <row r="909" spans="1:7" ht="15.75">
      <c r="A909" s="17"/>
      <c r="B909" s="13" t="s">
        <v>861</v>
      </c>
      <c r="C909" s="2" t="s">
        <v>43</v>
      </c>
      <c r="D909" s="9">
        <v>1</v>
      </c>
      <c r="E909" s="25">
        <v>160000</v>
      </c>
      <c r="F909" s="25">
        <v>160000</v>
      </c>
      <c r="G909" s="93"/>
    </row>
    <row r="910" spans="1:7" ht="18.75">
      <c r="A910" s="17"/>
      <c r="B910" s="13" t="s">
        <v>177</v>
      </c>
      <c r="C910" s="4" t="s">
        <v>20</v>
      </c>
      <c r="D910" s="9">
        <v>0.5</v>
      </c>
      <c r="E910" s="25">
        <v>6000</v>
      </c>
      <c r="F910" s="25">
        <v>3000</v>
      </c>
      <c r="G910" s="93"/>
    </row>
    <row r="911" spans="1:7" ht="18.75">
      <c r="A911" s="17"/>
      <c r="B911" s="13" t="s">
        <v>1068</v>
      </c>
      <c r="C911" s="4" t="s">
        <v>20</v>
      </c>
      <c r="D911" s="9">
        <v>1</v>
      </c>
      <c r="E911" s="25">
        <v>9000</v>
      </c>
      <c r="F911" s="25">
        <v>9000</v>
      </c>
      <c r="G911" s="93"/>
    </row>
    <row r="912" spans="1:7" ht="31.5">
      <c r="A912" s="17"/>
      <c r="B912" s="13" t="s">
        <v>1069</v>
      </c>
      <c r="C912" s="2" t="s">
        <v>43</v>
      </c>
      <c r="D912" s="9">
        <v>1</v>
      </c>
      <c r="E912" s="25">
        <v>100000</v>
      </c>
      <c r="F912" s="25">
        <v>100000</v>
      </c>
      <c r="G912" s="93"/>
    </row>
    <row r="913" spans="1:7" ht="15.75">
      <c r="A913" s="17"/>
      <c r="B913" s="13" t="s">
        <v>1070</v>
      </c>
      <c r="C913" s="2" t="s">
        <v>43</v>
      </c>
      <c r="D913" s="9">
        <v>1</v>
      </c>
      <c r="E913" s="25">
        <v>140000</v>
      </c>
      <c r="F913" s="25">
        <v>140000</v>
      </c>
      <c r="G913" s="93"/>
    </row>
    <row r="914" spans="1:7" ht="31.5">
      <c r="A914" s="11"/>
      <c r="B914" s="13" t="s">
        <v>1071</v>
      </c>
      <c r="C914" s="2" t="s">
        <v>43</v>
      </c>
      <c r="D914" s="10">
        <v>1</v>
      </c>
      <c r="E914" s="25">
        <v>80000</v>
      </c>
      <c r="F914" s="25">
        <v>80000</v>
      </c>
      <c r="G914" s="93"/>
    </row>
    <row r="915" spans="1:7" ht="15.75">
      <c r="A915" s="11"/>
      <c r="B915" s="48" t="s">
        <v>1072</v>
      </c>
      <c r="C915" s="2" t="s">
        <v>43</v>
      </c>
      <c r="D915" s="10">
        <v>1</v>
      </c>
      <c r="E915" s="131">
        <v>60000</v>
      </c>
      <c r="F915" s="25">
        <v>60000</v>
      </c>
      <c r="G915" s="93"/>
    </row>
    <row r="916" spans="1:7" ht="15.75">
      <c r="A916" s="17"/>
      <c r="B916" s="13" t="s">
        <v>848</v>
      </c>
      <c r="C916" s="2" t="s">
        <v>37</v>
      </c>
      <c r="D916" s="9">
        <v>5</v>
      </c>
      <c r="E916" s="25">
        <v>40000</v>
      </c>
      <c r="F916" s="25">
        <v>200000</v>
      </c>
      <c r="G916" s="94" t="s">
        <v>187</v>
      </c>
    </row>
    <row r="917" spans="1:7" ht="15.75">
      <c r="A917" s="17"/>
      <c r="B917" s="13" t="s">
        <v>847</v>
      </c>
      <c r="C917" s="2" t="s">
        <v>37</v>
      </c>
      <c r="D917" s="9">
        <v>19</v>
      </c>
      <c r="E917" s="25">
        <v>20000</v>
      </c>
      <c r="F917" s="25">
        <v>380000</v>
      </c>
      <c r="G917" s="94" t="s">
        <v>187</v>
      </c>
    </row>
    <row r="918" spans="1:7" ht="15.75">
      <c r="A918" s="17"/>
      <c r="B918" s="13" t="s">
        <v>1073</v>
      </c>
      <c r="C918" s="2" t="s">
        <v>43</v>
      </c>
      <c r="D918" s="9">
        <v>1</v>
      </c>
      <c r="E918" s="25">
        <v>60000</v>
      </c>
      <c r="F918" s="25">
        <v>60000</v>
      </c>
      <c r="G918" s="93"/>
    </row>
    <row r="919" spans="1:7" ht="15.75">
      <c r="A919" s="17"/>
      <c r="B919" s="13" t="s">
        <v>1074</v>
      </c>
      <c r="C919" s="2" t="s">
        <v>43</v>
      </c>
      <c r="D919" s="9">
        <v>1</v>
      </c>
      <c r="E919" s="25">
        <v>160000</v>
      </c>
      <c r="F919" s="25">
        <v>160000</v>
      </c>
      <c r="G919" s="93"/>
    </row>
    <row r="920" spans="1:7" ht="15.75">
      <c r="A920" s="17"/>
      <c r="B920" s="13" t="s">
        <v>1075</v>
      </c>
      <c r="C920" s="2" t="s">
        <v>43</v>
      </c>
      <c r="D920" s="9">
        <v>1</v>
      </c>
      <c r="E920" s="25">
        <v>600000</v>
      </c>
      <c r="F920" s="25">
        <v>600000</v>
      </c>
      <c r="G920" s="93"/>
    </row>
    <row r="921" spans="1:7" ht="15.75">
      <c r="A921" s="17"/>
      <c r="B921" s="13" t="s">
        <v>863</v>
      </c>
      <c r="C921" s="2" t="s">
        <v>43</v>
      </c>
      <c r="D921" s="9">
        <v>1</v>
      </c>
      <c r="E921" s="25">
        <v>1200000</v>
      </c>
      <c r="F921" s="25">
        <v>1200000</v>
      </c>
      <c r="G921" s="93"/>
    </row>
    <row r="922" spans="1:7" ht="15.75">
      <c r="A922" s="17"/>
      <c r="B922" s="13" t="s">
        <v>1076</v>
      </c>
      <c r="C922" s="2" t="s">
        <v>43</v>
      </c>
      <c r="D922" s="9">
        <v>1</v>
      </c>
      <c r="E922" s="25">
        <v>600000</v>
      </c>
      <c r="F922" s="25">
        <v>600000</v>
      </c>
      <c r="G922" s="93"/>
    </row>
    <row r="923" spans="1:7" ht="15.75">
      <c r="A923" s="17"/>
      <c r="B923" s="13" t="s">
        <v>998</v>
      </c>
      <c r="C923" s="2" t="s">
        <v>43</v>
      </c>
      <c r="D923" s="9">
        <v>2</v>
      </c>
      <c r="E923" s="25">
        <v>150000</v>
      </c>
      <c r="F923" s="25">
        <v>300000</v>
      </c>
      <c r="G923" s="93"/>
    </row>
    <row r="924" spans="1:7" ht="15.75">
      <c r="A924" s="17"/>
      <c r="B924" s="13" t="s">
        <v>864</v>
      </c>
      <c r="C924" s="2" t="s">
        <v>43</v>
      </c>
      <c r="D924" s="9">
        <v>1</v>
      </c>
      <c r="E924" s="25">
        <v>160000</v>
      </c>
      <c r="F924" s="25">
        <v>160000</v>
      </c>
      <c r="G924" s="93"/>
    </row>
    <row r="925" spans="1:7" ht="31.5">
      <c r="A925" s="17"/>
      <c r="B925" s="13" t="s">
        <v>1077</v>
      </c>
      <c r="C925" s="2" t="s">
        <v>43</v>
      </c>
      <c r="D925" s="9">
        <v>4</v>
      </c>
      <c r="E925" s="25">
        <v>150000</v>
      </c>
      <c r="F925" s="25">
        <v>600000</v>
      </c>
      <c r="G925" s="93"/>
    </row>
    <row r="926" spans="1:7" ht="15.75">
      <c r="A926" s="17"/>
      <c r="B926" s="13" t="s">
        <v>865</v>
      </c>
      <c r="C926" s="2" t="s">
        <v>43</v>
      </c>
      <c r="D926" s="9">
        <v>2</v>
      </c>
      <c r="E926" s="25">
        <v>160000</v>
      </c>
      <c r="F926" s="25">
        <v>320000</v>
      </c>
      <c r="G926" s="93"/>
    </row>
    <row r="927" spans="1:7" ht="15.75">
      <c r="A927" s="17"/>
      <c r="B927" s="13" t="s">
        <v>1029</v>
      </c>
      <c r="C927" s="2" t="s">
        <v>43</v>
      </c>
      <c r="D927" s="9">
        <v>2</v>
      </c>
      <c r="E927" s="25">
        <v>300000</v>
      </c>
      <c r="F927" s="25">
        <v>600000</v>
      </c>
      <c r="G927" s="93"/>
    </row>
    <row r="928" spans="1:7" ht="15.75">
      <c r="A928" s="17"/>
      <c r="B928" s="13" t="s">
        <v>1078</v>
      </c>
      <c r="C928" s="2" t="s">
        <v>43</v>
      </c>
      <c r="D928" s="9">
        <v>1</v>
      </c>
      <c r="E928" s="25">
        <v>300000</v>
      </c>
      <c r="F928" s="25">
        <v>300000</v>
      </c>
      <c r="G928" s="93"/>
    </row>
    <row r="929" spans="1:7" ht="15.75">
      <c r="A929" s="17"/>
      <c r="B929" s="13" t="s">
        <v>1079</v>
      </c>
      <c r="C929" s="2" t="s">
        <v>43</v>
      </c>
      <c r="D929" s="9">
        <v>1</v>
      </c>
      <c r="E929" s="25">
        <v>300000</v>
      </c>
      <c r="F929" s="25">
        <v>300000</v>
      </c>
      <c r="G929" s="93"/>
    </row>
    <row r="930" spans="1:7" ht="15.75">
      <c r="A930" s="17"/>
      <c r="B930" s="13" t="s">
        <v>1080</v>
      </c>
      <c r="C930" s="2" t="s">
        <v>43</v>
      </c>
      <c r="D930" s="9">
        <v>1</v>
      </c>
      <c r="E930" s="25">
        <v>60000</v>
      </c>
      <c r="F930" s="25">
        <v>60000</v>
      </c>
      <c r="G930" s="93"/>
    </row>
    <row r="931" spans="1:7" ht="15.75">
      <c r="A931" s="11"/>
      <c r="B931" s="13" t="s">
        <v>1081</v>
      </c>
      <c r="C931" s="2" t="s">
        <v>43</v>
      </c>
      <c r="D931" s="10">
        <v>3</v>
      </c>
      <c r="E931" s="25">
        <v>60000</v>
      </c>
      <c r="F931" s="25">
        <v>180000</v>
      </c>
      <c r="G931" s="93"/>
    </row>
    <row r="932" spans="1:7" ht="15.75">
      <c r="A932" s="19"/>
      <c r="B932" s="11" t="s">
        <v>1082</v>
      </c>
      <c r="C932" s="8" t="s">
        <v>43</v>
      </c>
      <c r="D932" s="10">
        <v>1</v>
      </c>
      <c r="E932" s="24">
        <v>500000</v>
      </c>
      <c r="F932" s="25">
        <v>500000</v>
      </c>
      <c r="G932" s="103"/>
    </row>
    <row r="933" spans="1:7" ht="31.5">
      <c r="A933" s="11"/>
      <c r="B933" s="12" t="s">
        <v>297</v>
      </c>
      <c r="C933" s="2"/>
      <c r="D933" s="9"/>
      <c r="E933" s="25"/>
      <c r="F933" s="25"/>
      <c r="G933" s="93"/>
    </row>
    <row r="934" spans="1:7" ht="31.5">
      <c r="A934" s="40"/>
      <c r="B934" s="12" t="s">
        <v>297</v>
      </c>
      <c r="C934" s="2"/>
      <c r="D934" s="9"/>
      <c r="E934" s="25"/>
      <c r="F934" s="25"/>
      <c r="G934" s="93"/>
    </row>
    <row r="935" spans="1:7" ht="15.75">
      <c r="A935" s="63"/>
      <c r="B935" s="13" t="s">
        <v>1083</v>
      </c>
      <c r="C935" s="2" t="s">
        <v>43</v>
      </c>
      <c r="D935" s="9">
        <v>1</v>
      </c>
      <c r="E935" s="25">
        <v>400000</v>
      </c>
      <c r="F935" s="25">
        <v>400000</v>
      </c>
      <c r="G935" s="93"/>
    </row>
    <row r="936" spans="1:7" ht="15.75">
      <c r="A936" s="62"/>
      <c r="B936" s="29" t="s">
        <v>1084</v>
      </c>
      <c r="C936" s="49" t="s">
        <v>43</v>
      </c>
      <c r="D936" s="50">
        <v>1</v>
      </c>
      <c r="E936" s="125">
        <v>800000</v>
      </c>
      <c r="F936" s="125">
        <v>800000</v>
      </c>
      <c r="G936" s="97"/>
    </row>
    <row r="937" spans="1:7" ht="18.75">
      <c r="A937" s="17"/>
      <c r="B937" s="13" t="s">
        <v>301</v>
      </c>
      <c r="C937" s="4" t="s">
        <v>20</v>
      </c>
      <c r="D937" s="9">
        <v>5</v>
      </c>
      <c r="E937" s="25">
        <v>6000</v>
      </c>
      <c r="F937" s="25">
        <v>30000</v>
      </c>
      <c r="G937" s="93"/>
    </row>
    <row r="938" spans="1:7" ht="15.75">
      <c r="A938" s="17"/>
      <c r="B938" s="13" t="s">
        <v>1085</v>
      </c>
      <c r="C938" s="2" t="s">
        <v>43</v>
      </c>
      <c r="D938" s="9">
        <v>1</v>
      </c>
      <c r="E938" s="25">
        <v>600000</v>
      </c>
      <c r="F938" s="25">
        <v>600000</v>
      </c>
      <c r="G938" s="93"/>
    </row>
    <row r="939" spans="1:7" ht="15.75">
      <c r="A939" s="17"/>
      <c r="B939" s="13" t="s">
        <v>1086</v>
      </c>
      <c r="C939" s="2" t="s">
        <v>43</v>
      </c>
      <c r="D939" s="9">
        <v>1</v>
      </c>
      <c r="E939" s="25">
        <v>2500000</v>
      </c>
      <c r="F939" s="25">
        <v>2500000</v>
      </c>
      <c r="G939" s="93"/>
    </row>
    <row r="940" spans="1:7" ht="15.75">
      <c r="A940" s="17"/>
      <c r="B940" s="13" t="s">
        <v>1087</v>
      </c>
      <c r="C940" s="2" t="s">
        <v>43</v>
      </c>
      <c r="D940" s="9">
        <v>1</v>
      </c>
      <c r="E940" s="25">
        <v>1800000</v>
      </c>
      <c r="F940" s="25">
        <v>1800000</v>
      </c>
      <c r="G940" s="93"/>
    </row>
    <row r="941" spans="1:7" ht="15.75">
      <c r="A941" s="17"/>
      <c r="B941" s="13" t="s">
        <v>1088</v>
      </c>
      <c r="C941" s="2" t="s">
        <v>43</v>
      </c>
      <c r="D941" s="9">
        <v>2</v>
      </c>
      <c r="E941" s="25">
        <v>600000</v>
      </c>
      <c r="F941" s="25">
        <v>1200000</v>
      </c>
      <c r="G941" s="93"/>
    </row>
    <row r="942" spans="1:7" ht="15.75">
      <c r="A942" s="17"/>
      <c r="B942" s="13" t="s">
        <v>302</v>
      </c>
      <c r="C942" s="2" t="s">
        <v>145</v>
      </c>
      <c r="D942" s="9">
        <v>2</v>
      </c>
      <c r="E942" s="25">
        <v>240000</v>
      </c>
      <c r="F942" s="25">
        <v>480000</v>
      </c>
      <c r="G942" s="93"/>
    </row>
    <row r="943" spans="1:7" ht="15.75">
      <c r="A943" s="11"/>
      <c r="B943" s="12" t="s">
        <v>302</v>
      </c>
      <c r="C943" s="2" t="s">
        <v>145</v>
      </c>
      <c r="D943" s="9">
        <v>10</v>
      </c>
      <c r="E943" s="25">
        <v>240000</v>
      </c>
      <c r="F943" s="25">
        <v>2400000</v>
      </c>
      <c r="G943" s="93"/>
    </row>
    <row r="944" spans="1:7" ht="15.75">
      <c r="A944" s="17"/>
      <c r="B944" s="13" t="s">
        <v>1083</v>
      </c>
      <c r="C944" s="2" t="s">
        <v>43</v>
      </c>
      <c r="D944" s="9">
        <v>25</v>
      </c>
      <c r="E944" s="25">
        <v>400000</v>
      </c>
      <c r="F944" s="25">
        <v>10000000</v>
      </c>
      <c r="G944" s="93"/>
    </row>
    <row r="945" spans="1:7" ht="15.75">
      <c r="A945" s="17"/>
      <c r="B945" s="13" t="s">
        <v>1089</v>
      </c>
      <c r="C945" s="2" t="s">
        <v>43</v>
      </c>
      <c r="D945" s="9">
        <v>1</v>
      </c>
      <c r="E945" s="25">
        <v>629000</v>
      </c>
      <c r="F945" s="25">
        <v>629000</v>
      </c>
      <c r="G945" s="93"/>
    </row>
    <row r="946" spans="1:7" ht="15.75">
      <c r="A946" s="17"/>
      <c r="B946" s="13" t="s">
        <v>1042</v>
      </c>
      <c r="C946" s="2" t="s">
        <v>43</v>
      </c>
      <c r="D946" s="9">
        <v>8</v>
      </c>
      <c r="E946" s="25">
        <v>1200000</v>
      </c>
      <c r="F946" s="25">
        <v>9600000</v>
      </c>
      <c r="G946" s="93"/>
    </row>
    <row r="947" spans="1:7" ht="31.5">
      <c r="A947" s="17"/>
      <c r="B947" s="13" t="s">
        <v>1036</v>
      </c>
      <c r="C947" s="2" t="s">
        <v>43</v>
      </c>
      <c r="D947" s="9">
        <v>1</v>
      </c>
      <c r="E947" s="25">
        <v>300000</v>
      </c>
      <c r="F947" s="25">
        <v>300000</v>
      </c>
      <c r="G947" s="93"/>
    </row>
    <row r="948" spans="1:7" ht="15.75">
      <c r="A948" s="17"/>
      <c r="B948" s="13" t="s">
        <v>1090</v>
      </c>
      <c r="C948" s="2" t="s">
        <v>43</v>
      </c>
      <c r="D948" s="9">
        <v>5</v>
      </c>
      <c r="E948" s="25">
        <v>400000</v>
      </c>
      <c r="F948" s="25">
        <v>2000000</v>
      </c>
      <c r="G948" s="93"/>
    </row>
    <row r="949" spans="1:7" ht="18.75">
      <c r="A949" s="17"/>
      <c r="B949" s="13" t="s">
        <v>304</v>
      </c>
      <c r="C949" s="4" t="s">
        <v>20</v>
      </c>
      <c r="D949" s="9">
        <v>10</v>
      </c>
      <c r="E949" s="25">
        <v>52500</v>
      </c>
      <c r="F949" s="25">
        <v>525000</v>
      </c>
      <c r="G949" s="93"/>
    </row>
    <row r="950" spans="1:7" ht="15.75">
      <c r="A950" s="17"/>
      <c r="B950" s="13" t="s">
        <v>1091</v>
      </c>
      <c r="C950" s="2" t="s">
        <v>43</v>
      </c>
      <c r="D950" s="9">
        <v>3</v>
      </c>
      <c r="E950" s="25">
        <v>800000</v>
      </c>
      <c r="F950" s="25">
        <v>2400000</v>
      </c>
      <c r="G950" s="94" t="s">
        <v>316</v>
      </c>
    </row>
    <row r="951" spans="1:7" ht="18.75">
      <c r="A951" s="17"/>
      <c r="B951" s="13" t="s">
        <v>1092</v>
      </c>
      <c r="C951" s="4" t="s">
        <v>20</v>
      </c>
      <c r="D951" s="9">
        <v>3</v>
      </c>
      <c r="E951" s="25">
        <v>5200</v>
      </c>
      <c r="F951" s="25">
        <v>15600</v>
      </c>
      <c r="G951" s="93"/>
    </row>
    <row r="952" spans="1:7" ht="63">
      <c r="A952" s="17" t="s">
        <v>319</v>
      </c>
      <c r="B952" s="11" t="s">
        <v>978</v>
      </c>
      <c r="C952" s="8" t="s">
        <v>43</v>
      </c>
      <c r="D952" s="10">
        <v>1</v>
      </c>
      <c r="E952" s="24">
        <v>600000</v>
      </c>
      <c r="F952" s="24">
        <v>600000</v>
      </c>
      <c r="G952" s="90"/>
    </row>
    <row r="953" spans="1:7" ht="15.75">
      <c r="A953" s="11"/>
      <c r="B953" s="13" t="s">
        <v>869</v>
      </c>
      <c r="C953" s="2" t="s">
        <v>43</v>
      </c>
      <c r="D953" s="7">
        <v>4</v>
      </c>
      <c r="E953" s="25">
        <v>160000</v>
      </c>
      <c r="F953" s="24">
        <v>640000</v>
      </c>
      <c r="G953" s="90"/>
    </row>
    <row r="954" spans="1:7" ht="15.75">
      <c r="A954" s="11"/>
      <c r="B954" s="12" t="s">
        <v>1000</v>
      </c>
      <c r="C954" s="4" t="s">
        <v>43</v>
      </c>
      <c r="D954" s="10">
        <v>1</v>
      </c>
      <c r="E954" s="24">
        <v>600000</v>
      </c>
      <c r="F954" s="25">
        <v>600000</v>
      </c>
      <c r="G954" s="93"/>
    </row>
    <row r="955" spans="1:7" ht="15.75">
      <c r="A955" s="17"/>
      <c r="B955" s="13" t="s">
        <v>848</v>
      </c>
      <c r="C955" s="2" t="s">
        <v>37</v>
      </c>
      <c r="D955" s="9">
        <v>10</v>
      </c>
      <c r="E955" s="25">
        <v>40000</v>
      </c>
      <c r="F955" s="25">
        <v>400000</v>
      </c>
      <c r="G955" s="94" t="s">
        <v>187</v>
      </c>
    </row>
    <row r="956" spans="1:7" ht="15.75">
      <c r="A956" s="17"/>
      <c r="B956" s="13" t="s">
        <v>847</v>
      </c>
      <c r="C956" s="2" t="s">
        <v>37</v>
      </c>
      <c r="D956" s="9">
        <v>46</v>
      </c>
      <c r="E956" s="25">
        <v>20000</v>
      </c>
      <c r="F956" s="25">
        <v>920000</v>
      </c>
      <c r="G956" s="94" t="s">
        <v>187</v>
      </c>
    </row>
    <row r="957" spans="1:7" ht="18.75">
      <c r="A957" s="62"/>
      <c r="B957" s="29" t="s">
        <v>1093</v>
      </c>
      <c r="C957" s="37" t="s">
        <v>20</v>
      </c>
      <c r="D957" s="50">
        <v>10</v>
      </c>
      <c r="E957" s="125">
        <v>30000</v>
      </c>
      <c r="F957" s="125">
        <v>300000</v>
      </c>
      <c r="G957" s="97"/>
    </row>
    <row r="958" spans="1:7" ht="15.75">
      <c r="A958" s="17"/>
      <c r="B958" s="13" t="s">
        <v>1041</v>
      </c>
      <c r="C958" s="2" t="s">
        <v>43</v>
      </c>
      <c r="D958" s="9">
        <v>1</v>
      </c>
      <c r="E958" s="25">
        <v>250000</v>
      </c>
      <c r="F958" s="25">
        <v>250000</v>
      </c>
      <c r="G958" s="93"/>
    </row>
    <row r="959" spans="1:7" ht="15.75">
      <c r="A959" s="17"/>
      <c r="B959" s="13" t="s">
        <v>1094</v>
      </c>
      <c r="C959" s="2" t="s">
        <v>43</v>
      </c>
      <c r="D959" s="9">
        <v>1</v>
      </c>
      <c r="E959" s="25">
        <v>130000</v>
      </c>
      <c r="F959" s="25">
        <v>130000</v>
      </c>
      <c r="G959" s="93"/>
    </row>
    <row r="960" spans="1:7" ht="15.75">
      <c r="A960" s="17"/>
      <c r="B960" s="13" t="s">
        <v>1095</v>
      </c>
      <c r="C960" s="2" t="s">
        <v>43</v>
      </c>
      <c r="D960" s="9">
        <v>1</v>
      </c>
      <c r="E960" s="25">
        <v>240000</v>
      </c>
      <c r="F960" s="25">
        <v>240000</v>
      </c>
      <c r="G960" s="93"/>
    </row>
    <row r="961" spans="1:7" ht="15.75">
      <c r="A961" s="62"/>
      <c r="B961" s="29" t="s">
        <v>1096</v>
      </c>
      <c r="C961" s="49" t="s">
        <v>43</v>
      </c>
      <c r="D961" s="50">
        <v>1</v>
      </c>
      <c r="E961" s="125">
        <v>200000</v>
      </c>
      <c r="F961" s="125">
        <v>200000</v>
      </c>
      <c r="G961" s="97"/>
    </row>
    <row r="962" spans="1:7" ht="15.75">
      <c r="A962" s="17"/>
      <c r="B962" s="13" t="s">
        <v>866</v>
      </c>
      <c r="C962" s="2" t="s">
        <v>43</v>
      </c>
      <c r="D962" s="9">
        <v>8</v>
      </c>
      <c r="E962" s="25">
        <v>100000</v>
      </c>
      <c r="F962" s="25">
        <v>800000</v>
      </c>
      <c r="G962" s="93"/>
    </row>
    <row r="963" spans="1:7" ht="31.5">
      <c r="A963" s="17"/>
      <c r="B963" s="13" t="s">
        <v>1097</v>
      </c>
      <c r="C963" s="2" t="s">
        <v>43</v>
      </c>
      <c r="D963" s="9">
        <v>30</v>
      </c>
      <c r="E963" s="25">
        <v>40000</v>
      </c>
      <c r="F963" s="25">
        <v>1200000</v>
      </c>
      <c r="G963" s="93"/>
    </row>
    <row r="964" spans="1:7" ht="15.75">
      <c r="A964" s="17"/>
      <c r="B964" s="13" t="s">
        <v>867</v>
      </c>
      <c r="C964" s="2" t="s">
        <v>43</v>
      </c>
      <c r="D964" s="9">
        <v>1</v>
      </c>
      <c r="E964" s="25">
        <v>60000</v>
      </c>
      <c r="F964" s="25">
        <v>60000</v>
      </c>
      <c r="G964" s="93"/>
    </row>
    <row r="965" spans="1:7" ht="18.75">
      <c r="A965" s="17"/>
      <c r="B965" s="13" t="s">
        <v>142</v>
      </c>
      <c r="C965" s="4" t="s">
        <v>20</v>
      </c>
      <c r="D965" s="9">
        <v>3</v>
      </c>
      <c r="E965" s="25">
        <v>12000</v>
      </c>
      <c r="F965" s="25">
        <v>36000</v>
      </c>
      <c r="G965" s="93"/>
    </row>
    <row r="966" spans="1:7" ht="18.75">
      <c r="A966" s="17"/>
      <c r="B966" s="13" t="s">
        <v>177</v>
      </c>
      <c r="C966" s="4" t="s">
        <v>20</v>
      </c>
      <c r="D966" s="9">
        <v>0.5</v>
      </c>
      <c r="E966" s="25">
        <v>6000</v>
      </c>
      <c r="F966" s="25">
        <v>3000</v>
      </c>
      <c r="G966" s="93"/>
    </row>
    <row r="967" spans="1:7" ht="15.75">
      <c r="A967" s="17"/>
      <c r="B967" s="13" t="s">
        <v>1098</v>
      </c>
      <c r="C967" s="2" t="s">
        <v>343</v>
      </c>
      <c r="D967" s="9">
        <v>5</v>
      </c>
      <c r="E967" s="25">
        <v>575000</v>
      </c>
      <c r="F967" s="25">
        <v>2875000</v>
      </c>
      <c r="G967" s="93"/>
    </row>
    <row r="968" spans="1:7" ht="15.75">
      <c r="A968" s="11"/>
      <c r="B968" s="13" t="s">
        <v>1053</v>
      </c>
      <c r="C968" s="8" t="s">
        <v>43</v>
      </c>
      <c r="D968" s="10">
        <v>1</v>
      </c>
      <c r="E968" s="25">
        <v>200000</v>
      </c>
      <c r="F968" s="25">
        <v>200000</v>
      </c>
      <c r="G968" s="93"/>
    </row>
    <row r="969" spans="1:7" ht="15.75">
      <c r="A969" s="17"/>
      <c r="B969" s="13" t="s">
        <v>868</v>
      </c>
      <c r="C969" s="2" t="s">
        <v>43</v>
      </c>
      <c r="D969" s="9">
        <v>2</v>
      </c>
      <c r="E969" s="25">
        <v>600000</v>
      </c>
      <c r="F969" s="25">
        <v>1200000</v>
      </c>
      <c r="G969" s="93"/>
    </row>
    <row r="970" spans="1:7" ht="15.75">
      <c r="A970" s="17"/>
      <c r="B970" s="13" t="s">
        <v>847</v>
      </c>
      <c r="C970" s="2" t="s">
        <v>37</v>
      </c>
      <c r="D970" s="9">
        <v>11</v>
      </c>
      <c r="E970" s="25">
        <v>20000</v>
      </c>
      <c r="F970" s="25">
        <v>220000</v>
      </c>
      <c r="G970" s="94" t="s">
        <v>187</v>
      </c>
    </row>
    <row r="971" spans="1:7" ht="47.25">
      <c r="A971" s="17" t="s">
        <v>359</v>
      </c>
      <c r="B971" s="11" t="s">
        <v>869</v>
      </c>
      <c r="C971" s="8" t="s">
        <v>43</v>
      </c>
      <c r="D971" s="10">
        <v>2</v>
      </c>
      <c r="E971" s="24">
        <v>160000</v>
      </c>
      <c r="F971" s="25">
        <v>320000</v>
      </c>
      <c r="G971" s="93"/>
    </row>
    <row r="972" spans="1:7" ht="31.5">
      <c r="A972" s="11"/>
      <c r="B972" s="12" t="s">
        <v>1099</v>
      </c>
      <c r="C972" s="2" t="s">
        <v>43</v>
      </c>
      <c r="D972" s="9">
        <v>2</v>
      </c>
      <c r="E972" s="25">
        <v>600000</v>
      </c>
      <c r="F972" s="25">
        <v>1200000</v>
      </c>
      <c r="G972" s="93"/>
    </row>
    <row r="973" spans="1:7" ht="15.75">
      <c r="A973" s="11"/>
      <c r="B973" s="12" t="s">
        <v>830</v>
      </c>
      <c r="C973" s="4" t="s">
        <v>37</v>
      </c>
      <c r="D973" s="9">
        <v>1</v>
      </c>
      <c r="E973" s="25">
        <v>20000</v>
      </c>
      <c r="F973" s="25">
        <v>20000</v>
      </c>
      <c r="G973" s="94" t="s">
        <v>187</v>
      </c>
    </row>
    <row r="974" spans="1:7" ht="15.75">
      <c r="A974" s="19"/>
      <c r="B974" s="39" t="s">
        <v>1100</v>
      </c>
      <c r="C974" s="5" t="s">
        <v>43</v>
      </c>
      <c r="D974" s="15">
        <v>1</v>
      </c>
      <c r="E974" s="137">
        <v>2500000</v>
      </c>
      <c r="F974" s="25">
        <v>2500000</v>
      </c>
      <c r="G974" s="100"/>
    </row>
    <row r="975" spans="1:7" ht="15.75">
      <c r="A975" s="17"/>
      <c r="B975" s="13" t="s">
        <v>847</v>
      </c>
      <c r="C975" s="2" t="s">
        <v>37</v>
      </c>
      <c r="D975" s="9">
        <v>24</v>
      </c>
      <c r="E975" s="25">
        <v>20000</v>
      </c>
      <c r="F975" s="58">
        <v>480000</v>
      </c>
      <c r="G975" s="94" t="s">
        <v>187</v>
      </c>
    </row>
    <row r="976" spans="1:7" ht="31.5">
      <c r="A976" s="11"/>
      <c r="B976" s="27" t="s">
        <v>985</v>
      </c>
      <c r="C976" s="4" t="s">
        <v>343</v>
      </c>
      <c r="D976" s="10">
        <v>1</v>
      </c>
      <c r="E976" s="24">
        <v>600000</v>
      </c>
      <c r="F976" s="25">
        <v>600000</v>
      </c>
      <c r="G976" s="93"/>
    </row>
    <row r="977" spans="1:7" ht="15.75">
      <c r="A977" s="11"/>
      <c r="B977" s="12" t="s">
        <v>928</v>
      </c>
      <c r="C977" s="4" t="s">
        <v>43</v>
      </c>
      <c r="D977" s="10">
        <v>2</v>
      </c>
      <c r="E977" s="24">
        <v>240000</v>
      </c>
      <c r="F977" s="25">
        <v>480000</v>
      </c>
      <c r="G977" s="93"/>
    </row>
    <row r="978" spans="1:7" ht="15.75">
      <c r="A978" s="17"/>
      <c r="B978" s="13" t="s">
        <v>1136</v>
      </c>
      <c r="C978" s="2" t="s">
        <v>43</v>
      </c>
      <c r="D978" s="9">
        <v>4</v>
      </c>
      <c r="E978" s="25">
        <v>300000</v>
      </c>
      <c r="F978" s="25">
        <v>1200000</v>
      </c>
      <c r="G978" s="93"/>
    </row>
    <row r="979" spans="1:7" ht="15.75">
      <c r="A979" s="17"/>
      <c r="B979" s="13" t="s">
        <v>1018</v>
      </c>
      <c r="C979" s="2" t="s">
        <v>43</v>
      </c>
      <c r="D979" s="9">
        <v>1</v>
      </c>
      <c r="E979" s="25">
        <v>682000</v>
      </c>
      <c r="F979" s="25">
        <v>682000</v>
      </c>
      <c r="G979" s="93"/>
    </row>
    <row r="980" spans="1:7" ht="15.75">
      <c r="A980" s="17"/>
      <c r="B980" s="13" t="s">
        <v>848</v>
      </c>
      <c r="C980" s="2" t="s">
        <v>37</v>
      </c>
      <c r="D980" s="9">
        <v>6</v>
      </c>
      <c r="E980" s="25">
        <v>40000</v>
      </c>
      <c r="F980" s="25">
        <v>240000</v>
      </c>
      <c r="G980" s="94" t="s">
        <v>187</v>
      </c>
    </row>
    <row r="981" spans="1:7" ht="15.75">
      <c r="A981" s="17"/>
      <c r="B981" s="13" t="s">
        <v>847</v>
      </c>
      <c r="C981" s="2" t="s">
        <v>37</v>
      </c>
      <c r="D981" s="9">
        <v>45</v>
      </c>
      <c r="E981" s="25">
        <v>20000</v>
      </c>
      <c r="F981" s="25">
        <v>900000</v>
      </c>
      <c r="G981" s="94" t="s">
        <v>187</v>
      </c>
    </row>
    <row r="982" spans="1:7" ht="15.75">
      <c r="A982" s="17"/>
      <c r="B982" s="13" t="s">
        <v>1038</v>
      </c>
      <c r="C982" s="2" t="s">
        <v>43</v>
      </c>
      <c r="D982" s="9">
        <v>1</v>
      </c>
      <c r="E982" s="25">
        <v>1200000</v>
      </c>
      <c r="F982" s="25">
        <v>1200000</v>
      </c>
      <c r="G982" s="93"/>
    </row>
    <row r="983" spans="1:7" ht="15.75">
      <c r="A983" s="17"/>
      <c r="B983" s="13" t="s">
        <v>302</v>
      </c>
      <c r="C983" s="2" t="s">
        <v>145</v>
      </c>
      <c r="D983" s="9">
        <v>2</v>
      </c>
      <c r="E983" s="25">
        <v>240000</v>
      </c>
      <c r="F983" s="25">
        <v>480000</v>
      </c>
      <c r="G983" s="93"/>
    </row>
    <row r="984" spans="1:7" ht="18.75">
      <c r="A984" s="17"/>
      <c r="B984" s="13" t="s">
        <v>393</v>
      </c>
      <c r="C984" s="4" t="s">
        <v>20</v>
      </c>
      <c r="D984" s="9">
        <v>5</v>
      </c>
      <c r="E984" s="25">
        <v>6000</v>
      </c>
      <c r="F984" s="25">
        <v>30000</v>
      </c>
      <c r="G984" s="93"/>
    </row>
    <row r="985" spans="1:7" ht="18.75">
      <c r="A985" s="17"/>
      <c r="B985" s="29" t="s">
        <v>394</v>
      </c>
      <c r="C985" s="4" t="s">
        <v>20</v>
      </c>
      <c r="D985" s="9">
        <v>15</v>
      </c>
      <c r="E985" s="126">
        <v>30000</v>
      </c>
      <c r="F985" s="25">
        <v>450000</v>
      </c>
      <c r="G985" s="93"/>
    </row>
    <row r="986" spans="1:7" ht="18.75">
      <c r="A986" s="17"/>
      <c r="B986" s="13" t="s">
        <v>1101</v>
      </c>
      <c r="C986" s="4" t="s">
        <v>20</v>
      </c>
      <c r="D986" s="9">
        <v>2</v>
      </c>
      <c r="E986" s="25">
        <v>52500</v>
      </c>
      <c r="F986" s="25">
        <v>105000</v>
      </c>
      <c r="G986" s="93"/>
    </row>
    <row r="987" spans="1:7" ht="31.5">
      <c r="A987" s="17"/>
      <c r="B987" s="13" t="s">
        <v>1134</v>
      </c>
      <c r="C987" s="2" t="s">
        <v>43</v>
      </c>
      <c r="D987" s="9">
        <v>1</v>
      </c>
      <c r="E987" s="126">
        <v>34000</v>
      </c>
      <c r="F987" s="25">
        <v>34000</v>
      </c>
      <c r="G987" s="93"/>
    </row>
    <row r="988" spans="1:7" ht="18.75">
      <c r="A988" s="17"/>
      <c r="B988" s="13" t="s">
        <v>395</v>
      </c>
      <c r="C988" s="4" t="s">
        <v>20</v>
      </c>
      <c r="D988" s="9">
        <v>2</v>
      </c>
      <c r="E988" s="25">
        <v>20000</v>
      </c>
      <c r="F988" s="25">
        <v>40000</v>
      </c>
      <c r="G988" s="93"/>
    </row>
    <row r="989" spans="1:7" ht="18.75">
      <c r="A989" s="17"/>
      <c r="B989" s="13" t="s">
        <v>477</v>
      </c>
      <c r="C989" s="4" t="s">
        <v>20</v>
      </c>
      <c r="D989" s="9">
        <v>10</v>
      </c>
      <c r="E989" s="25">
        <v>39000</v>
      </c>
      <c r="F989" s="25">
        <v>390000</v>
      </c>
      <c r="G989" s="93"/>
    </row>
    <row r="990" spans="1:7" ht="15.75">
      <c r="A990" s="11"/>
      <c r="B990" s="13" t="s">
        <v>1089</v>
      </c>
      <c r="C990" s="8" t="s">
        <v>43</v>
      </c>
      <c r="D990" s="10">
        <v>1</v>
      </c>
      <c r="E990" s="25">
        <v>629000</v>
      </c>
      <c r="F990" s="25">
        <v>629000</v>
      </c>
      <c r="G990" s="93"/>
    </row>
    <row r="991" spans="1:7" ht="18.75">
      <c r="A991" s="11"/>
      <c r="B991" s="12" t="s">
        <v>177</v>
      </c>
      <c r="C991" s="4" t="s">
        <v>20</v>
      </c>
      <c r="D991" s="10">
        <v>1</v>
      </c>
      <c r="E991" s="24">
        <v>6000</v>
      </c>
      <c r="F991" s="25">
        <v>6000</v>
      </c>
      <c r="G991" s="93"/>
    </row>
    <row r="992" spans="1:7" ht="15.75">
      <c r="A992" s="17"/>
      <c r="B992" s="13" t="s">
        <v>1102</v>
      </c>
      <c r="C992" s="2" t="s">
        <v>43</v>
      </c>
      <c r="D992" s="9">
        <v>1</v>
      </c>
      <c r="E992" s="25">
        <v>500000</v>
      </c>
      <c r="F992" s="25">
        <v>500000</v>
      </c>
      <c r="G992" s="93"/>
    </row>
    <row r="993" spans="1:7" ht="15.75">
      <c r="A993" s="17"/>
      <c r="B993" s="13" t="s">
        <v>848</v>
      </c>
      <c r="C993" s="2" t="s">
        <v>37</v>
      </c>
      <c r="D993" s="9">
        <v>1</v>
      </c>
      <c r="E993" s="25">
        <v>40000</v>
      </c>
      <c r="F993" s="25">
        <v>40000</v>
      </c>
      <c r="G993" s="94" t="s">
        <v>187</v>
      </c>
    </row>
    <row r="994" spans="1:7" ht="15.75">
      <c r="A994" s="17"/>
      <c r="B994" s="13" t="s">
        <v>847</v>
      </c>
      <c r="C994" s="2" t="s">
        <v>37</v>
      </c>
      <c r="D994" s="9">
        <v>5</v>
      </c>
      <c r="E994" s="25">
        <v>20000</v>
      </c>
      <c r="F994" s="25">
        <v>100000</v>
      </c>
      <c r="G994" s="94" t="s">
        <v>187</v>
      </c>
    </row>
    <row r="995" spans="1:7" ht="18.75">
      <c r="A995" s="17"/>
      <c r="B995" s="13" t="s">
        <v>406</v>
      </c>
      <c r="C995" s="4" t="s">
        <v>20</v>
      </c>
      <c r="D995" s="9">
        <v>2</v>
      </c>
      <c r="E995" s="25">
        <v>30000</v>
      </c>
      <c r="F995" s="25">
        <v>60000</v>
      </c>
      <c r="G995" s="93"/>
    </row>
    <row r="996" spans="1:7" ht="47.25">
      <c r="A996" s="17" t="s">
        <v>412</v>
      </c>
      <c r="B996" s="11" t="s">
        <v>1103</v>
      </c>
      <c r="C996" s="8" t="s">
        <v>343</v>
      </c>
      <c r="D996" s="10">
        <v>1</v>
      </c>
      <c r="E996" s="24">
        <v>600000</v>
      </c>
      <c r="F996" s="25">
        <v>600000</v>
      </c>
      <c r="G996" s="93"/>
    </row>
    <row r="997" spans="1:7" ht="15.75">
      <c r="A997" s="11"/>
      <c r="B997" s="12" t="s">
        <v>1104</v>
      </c>
      <c r="C997" s="2" t="s">
        <v>43</v>
      </c>
      <c r="D997" s="9">
        <v>1</v>
      </c>
      <c r="E997" s="25">
        <v>600000</v>
      </c>
      <c r="F997" s="25">
        <v>600000</v>
      </c>
      <c r="G997" s="93"/>
    </row>
    <row r="998" spans="1:7" ht="15.75">
      <c r="A998" s="19"/>
      <c r="B998" s="39" t="s">
        <v>1000</v>
      </c>
      <c r="C998" s="8" t="s">
        <v>43</v>
      </c>
      <c r="D998" s="15">
        <v>4</v>
      </c>
      <c r="E998" s="137">
        <v>600000</v>
      </c>
      <c r="F998" s="25">
        <v>2400000</v>
      </c>
      <c r="G998" s="103"/>
    </row>
    <row r="999" spans="1:7" ht="15.75">
      <c r="A999" s="11"/>
      <c r="B999" s="12" t="s">
        <v>1015</v>
      </c>
      <c r="C999" s="8" t="s">
        <v>43</v>
      </c>
      <c r="D999" s="10">
        <v>2</v>
      </c>
      <c r="E999" s="24">
        <v>1800000</v>
      </c>
      <c r="F999" s="25">
        <v>3600000</v>
      </c>
      <c r="G999" s="93"/>
    </row>
    <row r="1000" spans="1:7" ht="15.75">
      <c r="A1000" s="11"/>
      <c r="B1000" s="12" t="s">
        <v>1105</v>
      </c>
      <c r="C1000" s="8" t="s">
        <v>43</v>
      </c>
      <c r="D1000" s="10">
        <v>2</v>
      </c>
      <c r="E1000" s="24">
        <v>2450000</v>
      </c>
      <c r="F1000" s="25">
        <v>4900000</v>
      </c>
      <c r="G1000" s="93"/>
    </row>
    <row r="1001" spans="1:7" ht="15.75">
      <c r="A1001" s="19"/>
      <c r="B1001" s="39" t="s">
        <v>1106</v>
      </c>
      <c r="C1001" s="165" t="s">
        <v>43</v>
      </c>
      <c r="D1001" s="15">
        <v>1</v>
      </c>
      <c r="E1001" s="137">
        <v>604000</v>
      </c>
      <c r="F1001" s="25">
        <v>604000</v>
      </c>
      <c r="G1001" s="100"/>
    </row>
    <row r="1002" spans="1:7" ht="18.75">
      <c r="A1002" s="17"/>
      <c r="B1002" s="13" t="s">
        <v>135</v>
      </c>
      <c r="C1002" s="4" t="s">
        <v>20</v>
      </c>
      <c r="D1002" s="9">
        <v>8</v>
      </c>
      <c r="E1002" s="25">
        <v>6000</v>
      </c>
      <c r="F1002" s="25">
        <v>48000</v>
      </c>
      <c r="G1002" s="93"/>
    </row>
    <row r="1003" spans="1:7" ht="18.75">
      <c r="A1003" s="17"/>
      <c r="B1003" s="13" t="s">
        <v>425</v>
      </c>
      <c r="C1003" s="4" t="s">
        <v>20</v>
      </c>
      <c r="D1003" s="9">
        <v>30</v>
      </c>
      <c r="E1003" s="25">
        <v>6000</v>
      </c>
      <c r="F1003" s="25">
        <v>180000</v>
      </c>
      <c r="G1003" s="93"/>
    </row>
    <row r="1004" spans="1:7" ht="18.75">
      <c r="A1004" s="17"/>
      <c r="B1004" s="13" t="s">
        <v>426</v>
      </c>
      <c r="C1004" s="4" t="s">
        <v>20</v>
      </c>
      <c r="D1004" s="9">
        <v>30</v>
      </c>
      <c r="E1004" s="25">
        <v>30000</v>
      </c>
      <c r="F1004" s="25">
        <v>900000</v>
      </c>
      <c r="G1004" s="93"/>
    </row>
    <row r="1005" spans="1:7" ht="18.75">
      <c r="A1005" s="17"/>
      <c r="B1005" s="13" t="s">
        <v>427</v>
      </c>
      <c r="C1005" s="4" t="s">
        <v>20</v>
      </c>
      <c r="D1005" s="9">
        <v>1</v>
      </c>
      <c r="E1005" s="25">
        <v>6000</v>
      </c>
      <c r="F1005" s="25">
        <v>6000</v>
      </c>
      <c r="G1005" s="93"/>
    </row>
    <row r="1006" spans="1:7" ht="18.75">
      <c r="A1006" s="17"/>
      <c r="B1006" s="13" t="s">
        <v>1107</v>
      </c>
      <c r="C1006" s="4" t="s">
        <v>20</v>
      </c>
      <c r="D1006" s="9">
        <v>0.5</v>
      </c>
      <c r="E1006" s="25">
        <v>10000</v>
      </c>
      <c r="F1006" s="25">
        <v>5000</v>
      </c>
      <c r="G1006" s="93"/>
    </row>
    <row r="1007" spans="1:7" ht="18.75">
      <c r="A1007" s="17"/>
      <c r="B1007" s="13" t="s">
        <v>142</v>
      </c>
      <c r="C1007" s="4" t="s">
        <v>20</v>
      </c>
      <c r="D1007" s="9">
        <v>10</v>
      </c>
      <c r="E1007" s="25">
        <v>12000</v>
      </c>
      <c r="F1007" s="25">
        <v>120000</v>
      </c>
      <c r="G1007" s="93"/>
    </row>
    <row r="1008" spans="1:7" ht="18.75">
      <c r="A1008" s="17"/>
      <c r="B1008" s="13" t="s">
        <v>1108</v>
      </c>
      <c r="C1008" s="4" t="s">
        <v>20</v>
      </c>
      <c r="D1008" s="9">
        <v>2</v>
      </c>
      <c r="E1008" s="25">
        <v>6000</v>
      </c>
      <c r="F1008" s="25">
        <v>12000</v>
      </c>
      <c r="G1008" s="93"/>
    </row>
    <row r="1009" spans="1:7" ht="18.75">
      <c r="A1009" s="17"/>
      <c r="B1009" s="13" t="s">
        <v>428</v>
      </c>
      <c r="C1009" s="4" t="s">
        <v>20</v>
      </c>
      <c r="D1009" s="9">
        <v>10</v>
      </c>
      <c r="E1009" s="25">
        <v>6000</v>
      </c>
      <c r="F1009" s="25">
        <v>60000</v>
      </c>
      <c r="G1009" s="93"/>
    </row>
    <row r="1010" spans="1:7" ht="18.75">
      <c r="A1010" s="17"/>
      <c r="B1010" s="13" t="s">
        <v>475</v>
      </c>
      <c r="C1010" s="4" t="s">
        <v>20</v>
      </c>
      <c r="D1010" s="9">
        <v>5</v>
      </c>
      <c r="E1010" s="25">
        <v>6000</v>
      </c>
      <c r="F1010" s="25">
        <v>30000</v>
      </c>
      <c r="G1010" s="93"/>
    </row>
    <row r="1011" spans="1:7" ht="15.75">
      <c r="A1011" s="17"/>
      <c r="B1011" s="13" t="s">
        <v>1135</v>
      </c>
      <c r="C1011" s="4" t="s">
        <v>145</v>
      </c>
      <c r="D1011" s="9">
        <v>20</v>
      </c>
      <c r="E1011" s="25">
        <v>10400</v>
      </c>
      <c r="F1011" s="25">
        <v>208000</v>
      </c>
      <c r="G1011" s="93"/>
    </row>
    <row r="1012" spans="1:7" ht="15.75">
      <c r="A1012" s="17"/>
      <c r="B1012" s="13" t="s">
        <v>1109</v>
      </c>
      <c r="C1012" s="2" t="s">
        <v>43</v>
      </c>
      <c r="D1012" s="9">
        <v>2</v>
      </c>
      <c r="E1012" s="25">
        <v>575000</v>
      </c>
      <c r="F1012" s="25">
        <v>1150000</v>
      </c>
      <c r="G1012" s="93"/>
    </row>
    <row r="1013" spans="1:7" ht="15.75">
      <c r="A1013" s="17"/>
      <c r="B1013" s="13" t="s">
        <v>1048</v>
      </c>
      <c r="C1013" s="2" t="s">
        <v>43</v>
      </c>
      <c r="D1013" s="9">
        <v>1</v>
      </c>
      <c r="E1013" s="25">
        <v>40000</v>
      </c>
      <c r="F1013" s="25">
        <v>40000</v>
      </c>
      <c r="G1013" s="93"/>
    </row>
    <row r="1014" spans="1:7" ht="15.75">
      <c r="A1014" s="17"/>
      <c r="B1014" s="13" t="s">
        <v>1041</v>
      </c>
      <c r="C1014" s="2" t="s">
        <v>43</v>
      </c>
      <c r="D1014" s="9">
        <v>3</v>
      </c>
      <c r="E1014" s="25">
        <v>250000</v>
      </c>
      <c r="F1014" s="25">
        <v>750000</v>
      </c>
      <c r="G1014" s="93"/>
    </row>
    <row r="1015" spans="1:7" ht="15.75">
      <c r="A1015" s="17"/>
      <c r="B1015" s="13" t="s">
        <v>429</v>
      </c>
      <c r="C1015" s="2" t="s">
        <v>145</v>
      </c>
      <c r="D1015" s="9">
        <v>5</v>
      </c>
      <c r="E1015" s="25">
        <v>160000</v>
      </c>
      <c r="F1015" s="25">
        <v>800000</v>
      </c>
      <c r="G1015" s="93"/>
    </row>
    <row r="1016" spans="1:7" ht="15.75">
      <c r="A1016" s="17"/>
      <c r="B1016" s="13" t="s">
        <v>1110</v>
      </c>
      <c r="C1016" s="2" t="s">
        <v>43</v>
      </c>
      <c r="D1016" s="9">
        <v>1</v>
      </c>
      <c r="E1016" s="25">
        <v>200000</v>
      </c>
      <c r="F1016" s="25">
        <v>200000</v>
      </c>
      <c r="G1016" s="93"/>
    </row>
    <row r="1017" spans="1:7" ht="15.75">
      <c r="A1017" s="17"/>
      <c r="B1017" s="13" t="s">
        <v>1111</v>
      </c>
      <c r="C1017" s="2" t="s">
        <v>43</v>
      </c>
      <c r="D1017" s="9">
        <v>1</v>
      </c>
      <c r="E1017" s="25">
        <v>240000</v>
      </c>
      <c r="F1017" s="25">
        <v>240000</v>
      </c>
      <c r="G1017" s="93"/>
    </row>
    <row r="1018" spans="1:7" ht="15.75">
      <c r="A1018" s="17"/>
      <c r="B1018" s="13" t="s">
        <v>1112</v>
      </c>
      <c r="C1018" s="2" t="s">
        <v>43</v>
      </c>
      <c r="D1018" s="9">
        <v>1</v>
      </c>
      <c r="E1018" s="25">
        <v>240000</v>
      </c>
      <c r="F1018" s="25">
        <v>240000</v>
      </c>
      <c r="G1018" s="93"/>
    </row>
    <row r="1019" spans="1:7" ht="15.75">
      <c r="A1019" s="17"/>
      <c r="B1019" s="13" t="s">
        <v>1113</v>
      </c>
      <c r="C1019" s="2" t="s">
        <v>43</v>
      </c>
      <c r="D1019" s="9">
        <v>1</v>
      </c>
      <c r="E1019" s="25">
        <v>240000</v>
      </c>
      <c r="F1019" s="25">
        <v>240000</v>
      </c>
      <c r="G1019" s="93"/>
    </row>
    <row r="1020" spans="1:7" ht="15.75">
      <c r="A1020" s="17"/>
      <c r="B1020" s="13" t="s">
        <v>848</v>
      </c>
      <c r="C1020" s="2" t="s">
        <v>37</v>
      </c>
      <c r="D1020" s="9">
        <v>10</v>
      </c>
      <c r="E1020" s="25">
        <v>40000</v>
      </c>
      <c r="F1020" s="25">
        <v>400000</v>
      </c>
      <c r="G1020" s="94" t="s">
        <v>187</v>
      </c>
    </row>
    <row r="1021" spans="1:7" ht="15.75">
      <c r="A1021" s="17"/>
      <c r="B1021" s="13" t="s">
        <v>847</v>
      </c>
      <c r="C1021" s="2" t="s">
        <v>37</v>
      </c>
      <c r="D1021" s="9">
        <v>34</v>
      </c>
      <c r="E1021" s="25">
        <v>20000</v>
      </c>
      <c r="F1021" s="25">
        <v>680000</v>
      </c>
      <c r="G1021" s="94" t="s">
        <v>187</v>
      </c>
    </row>
    <row r="1022" spans="1:7" ht="15.75">
      <c r="A1022" s="17"/>
      <c r="B1022" s="13" t="s">
        <v>1114</v>
      </c>
      <c r="C1022" s="2" t="s">
        <v>43</v>
      </c>
      <c r="D1022" s="9">
        <v>1</v>
      </c>
      <c r="E1022" s="25">
        <v>200000</v>
      </c>
      <c r="F1022" s="25">
        <v>200000</v>
      </c>
      <c r="G1022" s="93"/>
    </row>
    <row r="1023" spans="1:7" ht="15.75">
      <c r="A1023" s="17"/>
      <c r="B1023" s="29" t="s">
        <v>1115</v>
      </c>
      <c r="C1023" s="2" t="s">
        <v>43</v>
      </c>
      <c r="D1023" s="9">
        <v>1</v>
      </c>
      <c r="E1023" s="125">
        <v>100000</v>
      </c>
      <c r="F1023" s="25">
        <v>100000</v>
      </c>
      <c r="G1023" s="93"/>
    </row>
    <row r="1024" spans="1:7" ht="15.75">
      <c r="A1024" s="17"/>
      <c r="B1024" s="13" t="s">
        <v>1116</v>
      </c>
      <c r="C1024" s="2" t="s">
        <v>43</v>
      </c>
      <c r="D1024" s="9">
        <v>1</v>
      </c>
      <c r="E1024" s="25">
        <v>293000</v>
      </c>
      <c r="F1024" s="25">
        <v>293000</v>
      </c>
      <c r="G1024" s="93"/>
    </row>
    <row r="1025" spans="1:7" ht="15.75">
      <c r="A1025" s="17"/>
      <c r="B1025" s="13" t="s">
        <v>1117</v>
      </c>
      <c r="C1025" s="2" t="s">
        <v>43</v>
      </c>
      <c r="D1025" s="9">
        <v>1</v>
      </c>
      <c r="E1025" s="25">
        <v>200000</v>
      </c>
      <c r="F1025" s="25">
        <v>200000</v>
      </c>
      <c r="G1025" s="93"/>
    </row>
    <row r="1026" spans="1:7" ht="18.75">
      <c r="A1026" s="17"/>
      <c r="B1026" s="13" t="s">
        <v>430</v>
      </c>
      <c r="C1026" s="4" t="s">
        <v>20</v>
      </c>
      <c r="D1026" s="9">
        <v>30</v>
      </c>
      <c r="E1026" s="25">
        <v>12000</v>
      </c>
      <c r="F1026" s="25">
        <v>360000</v>
      </c>
      <c r="G1026" s="93"/>
    </row>
    <row r="1027" spans="1:7" ht="15.75">
      <c r="A1027" s="17"/>
      <c r="B1027" s="13" t="s">
        <v>1118</v>
      </c>
      <c r="C1027" s="2" t="s">
        <v>43</v>
      </c>
      <c r="D1027" s="9">
        <v>5</v>
      </c>
      <c r="E1027" s="25">
        <v>100000</v>
      </c>
      <c r="F1027" s="25">
        <v>500000</v>
      </c>
      <c r="G1027" s="93"/>
    </row>
    <row r="1028" spans="1:7" ht="15.75">
      <c r="A1028" s="17"/>
      <c r="B1028" s="13" t="s">
        <v>1046</v>
      </c>
      <c r="C1028" s="2" t="s">
        <v>43</v>
      </c>
      <c r="D1028" s="9">
        <v>5</v>
      </c>
      <c r="E1028" s="25">
        <v>300000</v>
      </c>
      <c r="F1028" s="25">
        <v>1500000</v>
      </c>
      <c r="G1028" s="93"/>
    </row>
    <row r="1029" spans="1:7" ht="15.75">
      <c r="A1029" s="17"/>
      <c r="B1029" s="13" t="s">
        <v>1075</v>
      </c>
      <c r="C1029" s="2" t="s">
        <v>43</v>
      </c>
      <c r="D1029" s="9">
        <v>1</v>
      </c>
      <c r="E1029" s="25">
        <v>600000</v>
      </c>
      <c r="F1029" s="25">
        <v>600000</v>
      </c>
      <c r="G1029" s="93"/>
    </row>
    <row r="1030" spans="1:7" ht="18.75">
      <c r="A1030" s="17"/>
      <c r="B1030" s="13" t="s">
        <v>1092</v>
      </c>
      <c r="C1030" s="4" t="s">
        <v>20</v>
      </c>
      <c r="D1030" s="9">
        <v>10</v>
      </c>
      <c r="E1030" s="25">
        <v>5200</v>
      </c>
      <c r="F1030" s="25">
        <v>52000</v>
      </c>
      <c r="G1030" s="93"/>
    </row>
    <row r="1031" spans="1:7" ht="15.75">
      <c r="A1031" s="11"/>
      <c r="B1031" s="13" t="s">
        <v>1119</v>
      </c>
      <c r="C1031" s="2" t="s">
        <v>43</v>
      </c>
      <c r="D1031" s="10">
        <v>1</v>
      </c>
      <c r="E1031" s="25">
        <v>200000</v>
      </c>
      <c r="F1031" s="25">
        <v>200000</v>
      </c>
      <c r="G1031" s="93"/>
    </row>
    <row r="1032" spans="1:7" ht="15.75">
      <c r="A1032" s="11"/>
      <c r="B1032" s="13" t="s">
        <v>1120</v>
      </c>
      <c r="C1032" s="2" t="s">
        <v>43</v>
      </c>
      <c r="D1032" s="10">
        <v>2</v>
      </c>
      <c r="E1032" s="25">
        <v>220000</v>
      </c>
      <c r="F1032" s="25">
        <v>440000</v>
      </c>
      <c r="G1032" s="93"/>
    </row>
    <row r="1033" spans="1:7" ht="18.75">
      <c r="A1033" s="11"/>
      <c r="B1033" s="13" t="s">
        <v>1006</v>
      </c>
      <c r="C1033" s="4" t="s">
        <v>20</v>
      </c>
      <c r="D1033" s="10">
        <v>5</v>
      </c>
      <c r="E1033" s="25">
        <v>6000</v>
      </c>
      <c r="F1033" s="25">
        <v>30000</v>
      </c>
      <c r="G1033" s="93"/>
    </row>
    <row r="1034" spans="1:7" ht="15.75">
      <c r="A1034" s="11"/>
      <c r="B1034" s="13" t="s">
        <v>1121</v>
      </c>
      <c r="C1034" s="20" t="s">
        <v>43</v>
      </c>
      <c r="D1034" s="10">
        <v>1</v>
      </c>
      <c r="E1034" s="25">
        <v>200000</v>
      </c>
      <c r="F1034" s="25">
        <v>200000</v>
      </c>
      <c r="G1034" s="93"/>
    </row>
    <row r="1035" spans="1:7" ht="18.75">
      <c r="A1035" s="11"/>
      <c r="B1035" s="13" t="s">
        <v>431</v>
      </c>
      <c r="C1035" s="4" t="s">
        <v>20</v>
      </c>
      <c r="D1035" s="10">
        <v>1</v>
      </c>
      <c r="E1035" s="25">
        <v>50000</v>
      </c>
      <c r="F1035" s="25">
        <v>50000</v>
      </c>
      <c r="G1035" s="93"/>
    </row>
    <row r="1036" spans="1:7" ht="15.75">
      <c r="A1036" s="11"/>
      <c r="B1036" s="13" t="s">
        <v>1122</v>
      </c>
      <c r="C1036" s="20" t="s">
        <v>43</v>
      </c>
      <c r="D1036" s="10">
        <v>1</v>
      </c>
      <c r="E1036" s="25">
        <v>60000</v>
      </c>
      <c r="F1036" s="25">
        <v>60000</v>
      </c>
      <c r="G1036" s="93"/>
    </row>
    <row r="1037" spans="1:7" ht="15.75">
      <c r="A1037" s="11"/>
      <c r="B1037" s="13" t="s">
        <v>861</v>
      </c>
      <c r="C1037" s="20" t="s">
        <v>43</v>
      </c>
      <c r="D1037" s="10">
        <v>1</v>
      </c>
      <c r="E1037" s="25">
        <v>160000</v>
      </c>
      <c r="F1037" s="25">
        <v>160000</v>
      </c>
      <c r="G1037" s="93"/>
    </row>
    <row r="1038" spans="1:7" ht="15.75">
      <c r="A1038" s="11"/>
      <c r="B1038" s="13" t="s">
        <v>871</v>
      </c>
      <c r="C1038" s="20" t="s">
        <v>43</v>
      </c>
      <c r="D1038" s="10">
        <v>1</v>
      </c>
      <c r="E1038" s="25">
        <v>60000</v>
      </c>
      <c r="F1038" s="25">
        <v>60000</v>
      </c>
      <c r="G1038" s="93"/>
    </row>
    <row r="1039" spans="1:7" ht="15.75">
      <c r="A1039" s="11"/>
      <c r="B1039" s="13" t="s">
        <v>998</v>
      </c>
      <c r="C1039" s="20" t="s">
        <v>43</v>
      </c>
      <c r="D1039" s="10">
        <v>1</v>
      </c>
      <c r="E1039" s="25">
        <v>150000</v>
      </c>
      <c r="F1039" s="25">
        <v>150000</v>
      </c>
      <c r="G1039" s="93"/>
    </row>
    <row r="1040" spans="1:7" ht="18.75">
      <c r="A1040" s="11"/>
      <c r="B1040" s="12" t="s">
        <v>432</v>
      </c>
      <c r="C1040" s="4" t="s">
        <v>20</v>
      </c>
      <c r="D1040" s="10">
        <v>36</v>
      </c>
      <c r="E1040" s="24">
        <v>8000</v>
      </c>
      <c r="F1040" s="25">
        <v>288000</v>
      </c>
      <c r="G1040" s="93"/>
    </row>
    <row r="1041" spans="1:7" ht="15.75">
      <c r="A1041" s="11"/>
      <c r="B1041" s="13" t="s">
        <v>1123</v>
      </c>
      <c r="C1041" s="2" t="s">
        <v>43</v>
      </c>
      <c r="D1041" s="7">
        <v>70</v>
      </c>
      <c r="E1041" s="25">
        <v>200000</v>
      </c>
      <c r="F1041" s="25">
        <v>14000000</v>
      </c>
      <c r="G1041" s="93"/>
    </row>
    <row r="1042" spans="1:7" ht="15.75">
      <c r="A1042" s="11"/>
      <c r="B1042" s="12" t="s">
        <v>1000</v>
      </c>
      <c r="C1042" s="2" t="s">
        <v>43</v>
      </c>
      <c r="D1042" s="9">
        <v>1</v>
      </c>
      <c r="E1042" s="25">
        <v>600000</v>
      </c>
      <c r="F1042" s="25">
        <v>600000</v>
      </c>
      <c r="G1042" s="93"/>
    </row>
    <row r="1043" spans="1:7" ht="15.75">
      <c r="A1043" s="17"/>
      <c r="B1043" s="13" t="s">
        <v>429</v>
      </c>
      <c r="C1043" s="2" t="s">
        <v>145</v>
      </c>
      <c r="D1043" s="9">
        <v>2</v>
      </c>
      <c r="E1043" s="25">
        <v>160000</v>
      </c>
      <c r="F1043" s="25">
        <v>320000</v>
      </c>
      <c r="G1043" s="93"/>
    </row>
    <row r="1044" spans="1:7" ht="15.75">
      <c r="A1044" s="17"/>
      <c r="B1044" s="13" t="s">
        <v>1090</v>
      </c>
      <c r="C1044" s="2" t="s">
        <v>43</v>
      </c>
      <c r="D1044" s="9">
        <v>2</v>
      </c>
      <c r="E1044" s="25">
        <v>400000</v>
      </c>
      <c r="F1044" s="25">
        <v>800000</v>
      </c>
      <c r="G1044" s="93"/>
    </row>
    <row r="1045" spans="1:7" ht="15.75">
      <c r="A1045" s="17"/>
      <c r="B1045" s="13" t="s">
        <v>1029</v>
      </c>
      <c r="C1045" s="2" t="s">
        <v>43</v>
      </c>
      <c r="D1045" s="9">
        <v>1</v>
      </c>
      <c r="E1045" s="25">
        <v>300000</v>
      </c>
      <c r="F1045" s="25">
        <v>300000</v>
      </c>
      <c r="G1045" s="93"/>
    </row>
    <row r="1046" spans="1:7" ht="18.75">
      <c r="A1046" s="17"/>
      <c r="B1046" s="13" t="s">
        <v>177</v>
      </c>
      <c r="C1046" s="4" t="s">
        <v>20</v>
      </c>
      <c r="D1046" s="9">
        <v>2</v>
      </c>
      <c r="E1046" s="25">
        <v>6000</v>
      </c>
      <c r="F1046" s="25">
        <v>12000</v>
      </c>
      <c r="G1046" s="93"/>
    </row>
    <row r="1047" spans="1:7" ht="15.75">
      <c r="A1047" s="17"/>
      <c r="B1047" s="13" t="s">
        <v>999</v>
      </c>
      <c r="C1047" s="2" t="s">
        <v>43</v>
      </c>
      <c r="D1047" s="9">
        <v>1</v>
      </c>
      <c r="E1047" s="25">
        <v>180000</v>
      </c>
      <c r="F1047" s="25">
        <v>180000</v>
      </c>
      <c r="G1047" s="93"/>
    </row>
    <row r="1048" spans="1:7" ht="15.75">
      <c r="A1048" s="17"/>
      <c r="B1048" s="13" t="s">
        <v>830</v>
      </c>
      <c r="C1048" s="2" t="s">
        <v>37</v>
      </c>
      <c r="D1048" s="9">
        <v>16</v>
      </c>
      <c r="E1048" s="25">
        <v>20000</v>
      </c>
      <c r="F1048" s="25">
        <v>320000</v>
      </c>
      <c r="G1048" s="94" t="s">
        <v>187</v>
      </c>
    </row>
    <row r="1049" spans="1:7" ht="15.75">
      <c r="A1049" s="17"/>
      <c r="B1049" s="13" t="s">
        <v>831</v>
      </c>
      <c r="C1049" s="2" t="s">
        <v>37</v>
      </c>
      <c r="D1049" s="9">
        <v>2</v>
      </c>
      <c r="E1049" s="25">
        <v>10000</v>
      </c>
      <c r="F1049" s="25">
        <v>20000</v>
      </c>
      <c r="G1049" s="94" t="s">
        <v>187</v>
      </c>
    </row>
    <row r="1050" spans="1:7" ht="15.75">
      <c r="A1050" s="17"/>
      <c r="B1050" s="13" t="s">
        <v>833</v>
      </c>
      <c r="C1050" s="2" t="s">
        <v>37</v>
      </c>
      <c r="D1050" s="9">
        <v>2</v>
      </c>
      <c r="E1050" s="25">
        <v>20000</v>
      </c>
      <c r="F1050" s="25">
        <v>40000</v>
      </c>
      <c r="G1050" s="94" t="s">
        <v>187</v>
      </c>
    </row>
    <row r="1051" spans="1:7" ht="15.75">
      <c r="A1051" s="17"/>
      <c r="B1051" s="13" t="s">
        <v>828</v>
      </c>
      <c r="C1051" s="2" t="s">
        <v>37</v>
      </c>
      <c r="D1051" s="9">
        <v>1</v>
      </c>
      <c r="E1051" s="25">
        <v>40000</v>
      </c>
      <c r="F1051" s="25">
        <v>40000</v>
      </c>
      <c r="G1051" s="94" t="s">
        <v>187</v>
      </c>
    </row>
    <row r="1052" spans="1:7" ht="15.75">
      <c r="A1052" s="17"/>
      <c r="B1052" s="13" t="s">
        <v>829</v>
      </c>
      <c r="C1052" s="2" t="s">
        <v>37</v>
      </c>
      <c r="D1052" s="9">
        <v>3</v>
      </c>
      <c r="E1052" s="25">
        <v>20000</v>
      </c>
      <c r="F1052" s="25">
        <v>60000</v>
      </c>
      <c r="G1052" s="94" t="s">
        <v>187</v>
      </c>
    </row>
    <row r="1053" spans="1:7" ht="15.75">
      <c r="A1053" s="11"/>
      <c r="B1053" s="13" t="s">
        <v>827</v>
      </c>
      <c r="C1053" s="2" t="s">
        <v>37</v>
      </c>
      <c r="D1053" s="10">
        <v>2</v>
      </c>
      <c r="E1053" s="25">
        <v>20000</v>
      </c>
      <c r="F1053" s="25">
        <v>40000</v>
      </c>
      <c r="G1053" s="94" t="s">
        <v>187</v>
      </c>
    </row>
    <row r="1054" spans="2:7" ht="15.75">
      <c r="B1054" s="11" t="s">
        <v>203</v>
      </c>
      <c r="C1054" s="8" t="s">
        <v>145</v>
      </c>
      <c r="D1054" s="10">
        <v>70</v>
      </c>
      <c r="E1054" s="24">
        <v>96000</v>
      </c>
      <c r="F1054" s="25">
        <v>6720000</v>
      </c>
      <c r="G1054" s="93"/>
    </row>
    <row r="1055" spans="1:7" ht="15.75">
      <c r="A1055" s="51"/>
      <c r="B1055" s="12" t="s">
        <v>848</v>
      </c>
      <c r="C1055" s="4" t="s">
        <v>117</v>
      </c>
      <c r="D1055" s="10">
        <v>80</v>
      </c>
      <c r="E1055" s="24">
        <v>40000</v>
      </c>
      <c r="F1055" s="24">
        <v>3200000</v>
      </c>
      <c r="G1055" s="94" t="s">
        <v>187</v>
      </c>
    </row>
    <row r="1056" spans="1:7" ht="15.75">
      <c r="A1056" s="51"/>
      <c r="B1056" s="12" t="s">
        <v>847</v>
      </c>
      <c r="C1056" s="4" t="s">
        <v>117</v>
      </c>
      <c r="D1056" s="10">
        <v>21</v>
      </c>
      <c r="E1056" s="24">
        <v>20000</v>
      </c>
      <c r="F1056" s="31">
        <v>420000</v>
      </c>
      <c r="G1056" s="94" t="s">
        <v>187</v>
      </c>
    </row>
    <row r="1057" spans="1:7" ht="15.75">
      <c r="A1057" s="11"/>
      <c r="B1057" s="12" t="s">
        <v>1090</v>
      </c>
      <c r="C1057" s="4" t="s">
        <v>43</v>
      </c>
      <c r="D1057" s="10">
        <v>1</v>
      </c>
      <c r="E1057" s="24">
        <v>400000</v>
      </c>
      <c r="F1057" s="24">
        <v>400000</v>
      </c>
      <c r="G1057" s="93"/>
    </row>
    <row r="1058" spans="1:7" ht="18.75">
      <c r="A1058" s="11"/>
      <c r="B1058" s="12" t="s">
        <v>472</v>
      </c>
      <c r="C1058" s="4" t="s">
        <v>20</v>
      </c>
      <c r="D1058" s="10">
        <v>1</v>
      </c>
      <c r="E1058" s="24">
        <v>6000</v>
      </c>
      <c r="F1058" s="24">
        <v>6000</v>
      </c>
      <c r="G1058" s="93"/>
    </row>
    <row r="1059" spans="1:7" ht="15.75">
      <c r="A1059" s="11"/>
      <c r="B1059" s="12" t="s">
        <v>473</v>
      </c>
      <c r="C1059" s="4" t="s">
        <v>43</v>
      </c>
      <c r="D1059" s="10">
        <v>1</v>
      </c>
      <c r="E1059" s="24">
        <v>20000</v>
      </c>
      <c r="F1059" s="24">
        <v>20000</v>
      </c>
      <c r="G1059" s="93"/>
    </row>
    <row r="1060" spans="1:7" ht="15.75">
      <c r="A1060" s="11"/>
      <c r="B1060" s="12" t="s">
        <v>839</v>
      </c>
      <c r="C1060" s="4" t="s">
        <v>43</v>
      </c>
      <c r="D1060" s="10">
        <v>2</v>
      </c>
      <c r="E1060" s="24">
        <v>40000</v>
      </c>
      <c r="F1060" s="24">
        <v>80000</v>
      </c>
      <c r="G1060" s="94" t="s">
        <v>187</v>
      </c>
    </row>
    <row r="1061" spans="1:7" ht="15.75">
      <c r="A1061" s="51"/>
      <c r="B1061" s="12" t="s">
        <v>1048</v>
      </c>
      <c r="C1061" s="4" t="s">
        <v>43</v>
      </c>
      <c r="D1061" s="10">
        <v>1</v>
      </c>
      <c r="E1061" s="24">
        <v>40000</v>
      </c>
      <c r="F1061" s="24">
        <v>40000</v>
      </c>
      <c r="G1061" s="93"/>
    </row>
    <row r="1062" spans="1:7" ht="15.75">
      <c r="A1062" s="51"/>
      <c r="B1062" s="12" t="s">
        <v>477</v>
      </c>
      <c r="C1062" s="4" t="s">
        <v>43</v>
      </c>
      <c r="D1062" s="10">
        <v>1</v>
      </c>
      <c r="E1062" s="24">
        <v>39000</v>
      </c>
      <c r="F1062" s="24">
        <v>39000</v>
      </c>
      <c r="G1062" s="93"/>
    </row>
    <row r="1063" spans="1:7" ht="15.75">
      <c r="A1063" s="51"/>
      <c r="B1063" s="12" t="s">
        <v>830</v>
      </c>
      <c r="C1063" s="4" t="s">
        <v>43</v>
      </c>
      <c r="D1063" s="10">
        <v>3</v>
      </c>
      <c r="E1063" s="24">
        <v>20000</v>
      </c>
      <c r="F1063" s="24">
        <v>60000</v>
      </c>
      <c r="G1063" s="94" t="s">
        <v>187</v>
      </c>
    </row>
    <row r="1064" spans="1:7" ht="31.5">
      <c r="A1064" s="51"/>
      <c r="B1064" s="12" t="s">
        <v>1124</v>
      </c>
      <c r="C1064" s="4" t="s">
        <v>43</v>
      </c>
      <c r="D1064" s="10">
        <v>1</v>
      </c>
      <c r="E1064" s="24">
        <v>300000</v>
      </c>
      <c r="F1064" s="31">
        <v>300000</v>
      </c>
      <c r="G1064" s="93"/>
    </row>
    <row r="1065" spans="1:7" ht="15.75">
      <c r="A1065" s="11"/>
      <c r="B1065" s="12" t="s">
        <v>1000</v>
      </c>
      <c r="C1065" s="4" t="s">
        <v>43</v>
      </c>
      <c r="D1065" s="10">
        <v>16</v>
      </c>
      <c r="E1065" s="25">
        <v>600000</v>
      </c>
      <c r="F1065" s="24">
        <v>9600000</v>
      </c>
      <c r="G1065" s="93"/>
    </row>
    <row r="1066" spans="1:7" ht="15.75">
      <c r="A1066" s="11"/>
      <c r="B1066" s="12" t="s">
        <v>1041</v>
      </c>
      <c r="C1066" s="4" t="s">
        <v>43</v>
      </c>
      <c r="D1066" s="10">
        <v>7</v>
      </c>
      <c r="E1066" s="25">
        <v>250000</v>
      </c>
      <c r="F1066" s="24">
        <v>1750000</v>
      </c>
      <c r="G1066" s="93"/>
    </row>
    <row r="1067" spans="1:7" ht="15.75">
      <c r="A1067" s="11"/>
      <c r="B1067" s="12" t="s">
        <v>1086</v>
      </c>
      <c r="C1067" s="4" t="s">
        <v>43</v>
      </c>
      <c r="D1067" s="10">
        <v>9</v>
      </c>
      <c r="E1067" s="24">
        <v>2500000</v>
      </c>
      <c r="F1067" s="24">
        <v>22500000</v>
      </c>
      <c r="G1067" s="93"/>
    </row>
    <row r="1068" spans="1:7" ht="15.75">
      <c r="A1068" s="11"/>
      <c r="B1068" s="12" t="s">
        <v>302</v>
      </c>
      <c r="C1068" s="4" t="s">
        <v>145</v>
      </c>
      <c r="D1068" s="10">
        <v>3</v>
      </c>
      <c r="E1068" s="25">
        <v>240000</v>
      </c>
      <c r="F1068" s="24">
        <v>720000</v>
      </c>
      <c r="G1068" s="93"/>
    </row>
    <row r="1069" spans="1:7" ht="15.75">
      <c r="A1069" s="11"/>
      <c r="B1069" s="12" t="s">
        <v>1125</v>
      </c>
      <c r="C1069" s="4" t="s">
        <v>43</v>
      </c>
      <c r="D1069" s="10">
        <v>14</v>
      </c>
      <c r="E1069" s="24">
        <v>1000000</v>
      </c>
      <c r="F1069" s="24">
        <v>14000000</v>
      </c>
      <c r="G1069" s="93"/>
    </row>
    <row r="1070" spans="1:7" ht="15.75">
      <c r="A1070" s="11"/>
      <c r="B1070" s="12" t="s">
        <v>1126</v>
      </c>
      <c r="C1070" s="4" t="s">
        <v>43</v>
      </c>
      <c r="D1070" s="10">
        <v>2</v>
      </c>
      <c r="E1070" s="25">
        <v>820000</v>
      </c>
      <c r="F1070" s="24">
        <v>1640000</v>
      </c>
      <c r="G1070" s="93"/>
    </row>
    <row r="1071" spans="1:7" ht="15.75">
      <c r="A1071" s="11"/>
      <c r="B1071" s="12" t="s">
        <v>1127</v>
      </c>
      <c r="C1071" s="4" t="s">
        <v>43</v>
      </c>
      <c r="D1071" s="10">
        <v>1</v>
      </c>
      <c r="E1071" s="25">
        <v>682000</v>
      </c>
      <c r="F1071" s="24">
        <v>682000</v>
      </c>
      <c r="G1071" s="93"/>
    </row>
    <row r="1072" spans="1:7" ht="15.75">
      <c r="A1072" s="11"/>
      <c r="B1072" s="12" t="s">
        <v>1128</v>
      </c>
      <c r="C1072" s="4" t="s">
        <v>43</v>
      </c>
      <c r="D1072" s="10">
        <v>2</v>
      </c>
      <c r="E1072" s="25">
        <v>1000000</v>
      </c>
      <c r="F1072" s="24">
        <v>2000000</v>
      </c>
      <c r="G1072" s="93"/>
    </row>
    <row r="1073" spans="1:7" ht="15.75">
      <c r="A1073" s="11"/>
      <c r="B1073" s="12" t="s">
        <v>1129</v>
      </c>
      <c r="C1073" s="4" t="s">
        <v>43</v>
      </c>
      <c r="D1073" s="10">
        <v>2</v>
      </c>
      <c r="E1073" s="25">
        <v>890000</v>
      </c>
      <c r="F1073" s="24">
        <v>1780000</v>
      </c>
      <c r="G1073" s="93"/>
    </row>
    <row r="1074" spans="1:7" ht="15.75">
      <c r="A1074" s="11"/>
      <c r="B1074" s="12" t="s">
        <v>1130</v>
      </c>
      <c r="C1074" s="4" t="s">
        <v>43</v>
      </c>
      <c r="D1074" s="10">
        <v>2</v>
      </c>
      <c r="E1074" s="25">
        <v>800000</v>
      </c>
      <c r="F1074" s="24">
        <v>1600000</v>
      </c>
      <c r="G1074" s="93"/>
    </row>
    <row r="1075" spans="1:7" ht="15.75">
      <c r="A1075" s="11"/>
      <c r="B1075" s="12" t="s">
        <v>1131</v>
      </c>
      <c r="C1075" s="4" t="s">
        <v>43</v>
      </c>
      <c r="D1075" s="10">
        <v>1</v>
      </c>
      <c r="E1075" s="25">
        <v>200000</v>
      </c>
      <c r="F1075" s="24">
        <v>200000</v>
      </c>
      <c r="G1075" s="93"/>
    </row>
    <row r="1076" spans="1:7" ht="31.5">
      <c r="A1076" s="11"/>
      <c r="B1076" s="12" t="s">
        <v>1132</v>
      </c>
      <c r="C1076" s="4" t="s">
        <v>43</v>
      </c>
      <c r="D1076" s="10">
        <v>4</v>
      </c>
      <c r="E1076" s="25">
        <v>80000</v>
      </c>
      <c r="F1076" s="24">
        <v>320000</v>
      </c>
      <c r="G1076" s="93"/>
    </row>
    <row r="1077" spans="1:7" ht="15.75">
      <c r="A1077" s="11"/>
      <c r="B1077" s="12" t="s">
        <v>1133</v>
      </c>
      <c r="C1077" s="4" t="s">
        <v>43</v>
      </c>
      <c r="D1077" s="10">
        <v>2</v>
      </c>
      <c r="E1077" s="25">
        <v>200000</v>
      </c>
      <c r="F1077" s="24">
        <v>400000</v>
      </c>
      <c r="G1077" s="93"/>
    </row>
    <row r="1078" spans="1:7" ht="15.75">
      <c r="A1078" s="30"/>
      <c r="B1078" s="48" t="s">
        <v>997</v>
      </c>
      <c r="C1078" s="37" t="s">
        <v>43</v>
      </c>
      <c r="D1078" s="60">
        <v>1</v>
      </c>
      <c r="E1078" s="130">
        <v>682000</v>
      </c>
      <c r="F1078" s="130">
        <v>682000</v>
      </c>
      <c r="G1078" s="97"/>
    </row>
    <row r="1079" spans="1:7" ht="15.75">
      <c r="A1079" s="30"/>
      <c r="B1079" s="48" t="s">
        <v>998</v>
      </c>
      <c r="C1079" s="37" t="s">
        <v>43</v>
      </c>
      <c r="D1079" s="60">
        <v>2</v>
      </c>
      <c r="E1079" s="130">
        <v>150000</v>
      </c>
      <c r="F1079" s="130">
        <v>300000</v>
      </c>
      <c r="G1079" s="97"/>
    </row>
    <row r="1080" spans="1:7" ht="15.75">
      <c r="A1080" s="30"/>
      <c r="B1080" s="48" t="s">
        <v>999</v>
      </c>
      <c r="C1080" s="37" t="s">
        <v>43</v>
      </c>
      <c r="D1080" s="60">
        <v>1</v>
      </c>
      <c r="E1080" s="130">
        <v>180000</v>
      </c>
      <c r="F1080" s="130">
        <v>180000</v>
      </c>
      <c r="G1080" s="97"/>
    </row>
    <row r="1081" spans="1:7" ht="15.75">
      <c r="A1081" s="30"/>
      <c r="B1081" s="48" t="s">
        <v>1001</v>
      </c>
      <c r="C1081" s="37" t="s">
        <v>145</v>
      </c>
      <c r="D1081" s="60">
        <v>1</v>
      </c>
      <c r="E1081" s="130">
        <v>160000</v>
      </c>
      <c r="F1081" s="130">
        <v>160000</v>
      </c>
      <c r="G1081" s="97"/>
    </row>
    <row r="1082" spans="1:7" ht="15.75">
      <c r="A1082" s="30"/>
      <c r="B1082" s="48" t="s">
        <v>1000</v>
      </c>
      <c r="C1082" s="37" t="s">
        <v>43</v>
      </c>
      <c r="D1082" s="60">
        <v>1</v>
      </c>
      <c r="E1082" s="130">
        <v>600000</v>
      </c>
      <c r="F1082" s="130">
        <v>600000</v>
      </c>
      <c r="G1082" s="97"/>
    </row>
    <row r="1083" spans="1:7" ht="18.75">
      <c r="A1083" s="30"/>
      <c r="B1083" s="48" t="s">
        <v>425</v>
      </c>
      <c r="C1083" s="37" t="s">
        <v>20</v>
      </c>
      <c r="D1083" s="60">
        <v>20</v>
      </c>
      <c r="E1083" s="130">
        <v>6000</v>
      </c>
      <c r="F1083" s="130">
        <v>120000</v>
      </c>
      <c r="G1083" s="97"/>
    </row>
    <row r="1084" spans="1:7" ht="15.75">
      <c r="A1084" s="30"/>
      <c r="B1084" s="48" t="s">
        <v>1002</v>
      </c>
      <c r="C1084" s="37" t="s">
        <v>43</v>
      </c>
      <c r="D1084" s="60">
        <v>3</v>
      </c>
      <c r="E1084" s="130">
        <v>200000</v>
      </c>
      <c r="F1084" s="130">
        <v>600000</v>
      </c>
      <c r="G1084" s="97"/>
    </row>
    <row r="1085" spans="1:7" ht="15.75">
      <c r="A1085" s="30"/>
      <c r="B1085" s="48" t="s">
        <v>1003</v>
      </c>
      <c r="C1085" s="37" t="s">
        <v>43</v>
      </c>
      <c r="D1085" s="60">
        <v>1</v>
      </c>
      <c r="E1085" s="130">
        <v>300000</v>
      </c>
      <c r="F1085" s="130">
        <v>300000</v>
      </c>
      <c r="G1085" s="97"/>
    </row>
    <row r="1086" spans="1:7" ht="18.75">
      <c r="A1086" s="141"/>
      <c r="B1086" s="183" t="s">
        <v>177</v>
      </c>
      <c r="C1086" s="37" t="s">
        <v>20</v>
      </c>
      <c r="D1086" s="142">
        <v>1</v>
      </c>
      <c r="E1086" s="143">
        <v>6000</v>
      </c>
      <c r="F1086" s="130">
        <v>6000</v>
      </c>
      <c r="G1086" s="139"/>
    </row>
    <row r="1087" spans="1:7" ht="15.75">
      <c r="A1087" s="30"/>
      <c r="B1087" s="29" t="s">
        <v>928</v>
      </c>
      <c r="C1087" s="37" t="s">
        <v>43</v>
      </c>
      <c r="D1087" s="50">
        <v>2</v>
      </c>
      <c r="E1087" s="125">
        <v>240000</v>
      </c>
      <c r="F1087" s="130">
        <v>480000</v>
      </c>
      <c r="G1087" s="97"/>
    </row>
    <row r="1088" spans="1:7" ht="15.75">
      <c r="A1088" s="30"/>
      <c r="B1088" s="29" t="s">
        <v>932</v>
      </c>
      <c r="C1088" s="37" t="s">
        <v>43</v>
      </c>
      <c r="D1088" s="50">
        <v>1</v>
      </c>
      <c r="E1088" s="125">
        <v>1000000</v>
      </c>
      <c r="F1088" s="130">
        <v>1000000</v>
      </c>
      <c r="G1088" s="106"/>
    </row>
    <row r="1089" spans="1:7" ht="15.75">
      <c r="A1089" s="30"/>
      <c r="B1089" s="29" t="s">
        <v>929</v>
      </c>
      <c r="C1089" s="37" t="s">
        <v>43</v>
      </c>
      <c r="D1089" s="50">
        <v>1</v>
      </c>
      <c r="E1089" s="125">
        <v>300000</v>
      </c>
      <c r="F1089" s="130">
        <v>300000</v>
      </c>
      <c r="G1089" s="106"/>
    </row>
    <row r="1090" spans="1:7" ht="31.5">
      <c r="A1090" s="30"/>
      <c r="B1090" s="29" t="s">
        <v>930</v>
      </c>
      <c r="C1090" s="37" t="s">
        <v>43</v>
      </c>
      <c r="D1090" s="50">
        <v>4</v>
      </c>
      <c r="E1090" s="125">
        <v>160000</v>
      </c>
      <c r="F1090" s="130">
        <v>640000</v>
      </c>
      <c r="G1090" s="97"/>
    </row>
    <row r="1091" spans="1:7" ht="18.75">
      <c r="A1091" s="11"/>
      <c r="B1091" s="13" t="s">
        <v>931</v>
      </c>
      <c r="C1091" s="37" t="s">
        <v>20</v>
      </c>
      <c r="D1091" s="9">
        <v>30</v>
      </c>
      <c r="E1091" s="25">
        <v>39000</v>
      </c>
      <c r="F1091" s="130">
        <v>1170000</v>
      </c>
      <c r="G1091" s="93"/>
    </row>
    <row r="1092" ht="15.75">
      <c r="F1092" s="185">
        <f>SUM(F726:F1091)</f>
        <v>404451220</v>
      </c>
    </row>
    <row r="1096" ht="15.75">
      <c r="F1096" s="185">
        <f>F1092+F724+F172</f>
        <v>192379317065.975</v>
      </c>
    </row>
  </sheetData>
  <sheetProtection/>
  <conditionalFormatting sqref="C25">
    <cfRule type="dataBar" priority="1" dxfId="0">
      <dataBar minLength="0" maxLength="100">
        <cfvo type="min"/>
        <cfvo type="max"/>
        <color rgb="FF638EC6"/>
      </dataBar>
      <extLst>
        <ext xmlns:x14="http://schemas.microsoft.com/office/spreadsheetml/2009/9/main" uri="{B025F937-C7B1-47D3-B67F-A62EFF666E3E}">
          <x14:id>{60286c45-0bcb-431e-af67-f094a929a96c}</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60286c45-0bcb-431e-af67-f094a929a96c}">
            <x14:dataBar minLength="0" maxLength="100" gradient="0">
              <x14:cfvo type="min"/>
              <x14:cfvo type="max"/>
              <x14:negativeFillColor rgb="FFFF0000"/>
              <x14:axisColor rgb="FF000000"/>
            </x14:dataBar>
            <x14:dxf/>
          </x14:cfRule>
          <xm:sqref>C25</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H153"/>
  <sheetViews>
    <sheetView zoomScalePageLayoutView="0" workbookViewId="0" topLeftCell="A151">
      <selection activeCell="G153" sqref="G153"/>
    </sheetView>
  </sheetViews>
  <sheetFormatPr defaultColWidth="8.796875" defaultRowHeight="15"/>
  <cols>
    <col min="1" max="1" width="7.3984375" style="0" customWidth="1"/>
    <col min="2" max="2" width="29.3984375" style="0" customWidth="1"/>
    <col min="3" max="3" width="37" style="0" customWidth="1"/>
    <col min="4" max="4" width="7.59765625" style="0" customWidth="1"/>
    <col min="5" max="5" width="8.59765625" style="0" customWidth="1"/>
    <col min="6" max="6" width="12.69921875" style="0" customWidth="1"/>
    <col min="7" max="7" width="17.19921875" style="0" customWidth="1"/>
    <col min="8" max="8" width="25.19921875" style="0" customWidth="1"/>
  </cols>
  <sheetData>
    <row r="2" spans="1:8" ht="94.5">
      <c r="A2" s="54"/>
      <c r="B2" s="30" t="s">
        <v>508</v>
      </c>
      <c r="C2" s="30" t="s">
        <v>945</v>
      </c>
      <c r="D2" s="64" t="s">
        <v>20</v>
      </c>
      <c r="E2" s="60">
        <v>13.1</v>
      </c>
      <c r="F2" s="125">
        <v>3953000</v>
      </c>
      <c r="G2" s="125">
        <f aca="true" t="shared" si="0" ref="G2:G33">F2*E2</f>
        <v>51784300</v>
      </c>
      <c r="H2" s="105"/>
    </row>
    <row r="3" spans="1:8" ht="94.5">
      <c r="A3" s="54"/>
      <c r="B3" s="62"/>
      <c r="C3" s="30" t="s">
        <v>950</v>
      </c>
      <c r="D3" s="64" t="s">
        <v>20</v>
      </c>
      <c r="E3" s="60">
        <v>12.3</v>
      </c>
      <c r="F3" s="125">
        <v>3953000</v>
      </c>
      <c r="G3" s="125">
        <f t="shared" si="0"/>
        <v>48621900</v>
      </c>
      <c r="H3" s="105"/>
    </row>
    <row r="4" spans="1:8" ht="47.25">
      <c r="A4" s="54"/>
      <c r="B4" s="30" t="s">
        <v>749</v>
      </c>
      <c r="C4" s="48" t="s">
        <v>899</v>
      </c>
      <c r="D4" s="64" t="s">
        <v>20</v>
      </c>
      <c r="E4" s="60">
        <v>31</v>
      </c>
      <c r="F4" s="130">
        <v>12507500</v>
      </c>
      <c r="G4" s="130">
        <f t="shared" si="0"/>
        <v>387732500</v>
      </c>
      <c r="H4" s="213" t="s">
        <v>898</v>
      </c>
    </row>
    <row r="5" spans="1:8" ht="94.5">
      <c r="A5" s="54"/>
      <c r="B5" s="62" t="s">
        <v>34</v>
      </c>
      <c r="C5" s="48" t="s">
        <v>942</v>
      </c>
      <c r="D5" s="64" t="s">
        <v>20</v>
      </c>
      <c r="E5" s="50">
        <v>1.5</v>
      </c>
      <c r="F5" s="125">
        <v>3953000</v>
      </c>
      <c r="G5" s="130">
        <f t="shared" si="0"/>
        <v>5929500</v>
      </c>
      <c r="H5" s="106"/>
    </row>
    <row r="6" spans="1:8" ht="78.75">
      <c r="A6" s="54"/>
      <c r="B6" s="30"/>
      <c r="C6" s="48" t="s">
        <v>784</v>
      </c>
      <c r="D6" s="49" t="s">
        <v>20</v>
      </c>
      <c r="E6" s="84">
        <v>109.7</v>
      </c>
      <c r="F6" s="125">
        <v>5003000</v>
      </c>
      <c r="G6" s="125">
        <f t="shared" si="0"/>
        <v>548829100</v>
      </c>
      <c r="H6" s="216"/>
    </row>
    <row r="7" spans="1:8" ht="110.25">
      <c r="A7" s="54"/>
      <c r="B7" s="30" t="s">
        <v>511</v>
      </c>
      <c r="C7" s="48" t="s">
        <v>938</v>
      </c>
      <c r="D7" s="49" t="s">
        <v>20</v>
      </c>
      <c r="E7" s="84">
        <v>156.8</v>
      </c>
      <c r="F7" s="125">
        <v>4420000</v>
      </c>
      <c r="G7" s="125">
        <f t="shared" si="0"/>
        <v>693056000</v>
      </c>
      <c r="H7" s="105"/>
    </row>
    <row r="8" spans="1:8" ht="94.5">
      <c r="A8" s="54"/>
      <c r="B8" s="30" t="s">
        <v>512</v>
      </c>
      <c r="C8" s="48" t="s">
        <v>942</v>
      </c>
      <c r="D8" s="49" t="s">
        <v>20</v>
      </c>
      <c r="E8" s="84">
        <v>67.1</v>
      </c>
      <c r="F8" s="125">
        <v>3953000</v>
      </c>
      <c r="G8" s="125">
        <f t="shared" si="0"/>
        <v>265246299.99999997</v>
      </c>
      <c r="H8" s="105"/>
    </row>
    <row r="9" spans="1:8" ht="78.75">
      <c r="A9" s="61"/>
      <c r="B9" s="62" t="s">
        <v>57</v>
      </c>
      <c r="C9" s="48" t="s">
        <v>785</v>
      </c>
      <c r="D9" s="49" t="s">
        <v>20</v>
      </c>
      <c r="E9" s="50">
        <v>44</v>
      </c>
      <c r="F9" s="125">
        <v>5003000</v>
      </c>
      <c r="G9" s="125">
        <f t="shared" si="0"/>
        <v>220132000</v>
      </c>
      <c r="H9" s="106"/>
    </row>
    <row r="10" spans="1:8" ht="94.5">
      <c r="A10" s="61"/>
      <c r="B10" s="62"/>
      <c r="C10" s="29" t="s">
        <v>945</v>
      </c>
      <c r="D10" s="49" t="s">
        <v>20</v>
      </c>
      <c r="E10" s="50">
        <v>2.6</v>
      </c>
      <c r="F10" s="125">
        <v>3953000</v>
      </c>
      <c r="G10" s="125">
        <f t="shared" si="0"/>
        <v>10277800</v>
      </c>
      <c r="H10" s="106"/>
    </row>
    <row r="11" spans="1:8" ht="94.5">
      <c r="A11" s="54"/>
      <c r="B11" s="30" t="s">
        <v>514</v>
      </c>
      <c r="C11" s="29" t="s">
        <v>945</v>
      </c>
      <c r="D11" s="49" t="s">
        <v>20</v>
      </c>
      <c r="E11" s="84">
        <v>3.1</v>
      </c>
      <c r="F11" s="125">
        <v>3953000</v>
      </c>
      <c r="G11" s="125">
        <f t="shared" si="0"/>
        <v>12254300</v>
      </c>
      <c r="H11" s="105"/>
    </row>
    <row r="12" spans="1:8" ht="94.5">
      <c r="A12" s="54"/>
      <c r="B12" s="62" t="s">
        <v>62</v>
      </c>
      <c r="C12" s="29" t="s">
        <v>945</v>
      </c>
      <c r="D12" s="49" t="s">
        <v>20</v>
      </c>
      <c r="E12" s="84">
        <v>3.5</v>
      </c>
      <c r="F12" s="125">
        <v>3953000</v>
      </c>
      <c r="G12" s="125">
        <f t="shared" si="0"/>
        <v>13835500</v>
      </c>
      <c r="H12" s="105"/>
    </row>
    <row r="13" spans="1:8" ht="110.25">
      <c r="A13" s="61"/>
      <c r="B13" s="30" t="s">
        <v>963</v>
      </c>
      <c r="C13" s="48" t="s">
        <v>786</v>
      </c>
      <c r="D13" s="49" t="s">
        <v>20</v>
      </c>
      <c r="E13" s="50">
        <v>351</v>
      </c>
      <c r="F13" s="125">
        <v>5102000</v>
      </c>
      <c r="G13" s="125">
        <f t="shared" si="0"/>
        <v>1790802000</v>
      </c>
      <c r="H13" s="106"/>
    </row>
    <row r="14" spans="1:8" ht="126">
      <c r="A14" s="140"/>
      <c r="B14" s="62" t="s">
        <v>63</v>
      </c>
      <c r="C14" s="29" t="s">
        <v>948</v>
      </c>
      <c r="D14" s="49" t="s">
        <v>20</v>
      </c>
      <c r="E14" s="50">
        <v>335.2</v>
      </c>
      <c r="F14" s="125">
        <v>2551000</v>
      </c>
      <c r="G14" s="125">
        <f t="shared" si="0"/>
        <v>855095200</v>
      </c>
      <c r="H14" s="106"/>
    </row>
    <row r="15" spans="1:8" ht="110.25">
      <c r="A15" s="140"/>
      <c r="B15" s="62"/>
      <c r="C15" s="48" t="s">
        <v>786</v>
      </c>
      <c r="D15" s="49" t="s">
        <v>20</v>
      </c>
      <c r="E15" s="50">
        <v>284.7</v>
      </c>
      <c r="F15" s="125">
        <v>5102000</v>
      </c>
      <c r="G15" s="125">
        <f t="shared" si="0"/>
        <v>1452539400</v>
      </c>
      <c r="H15" s="106"/>
    </row>
    <row r="16" spans="1:8" ht="126">
      <c r="A16" s="140"/>
      <c r="B16" s="62"/>
      <c r="C16" s="48" t="s">
        <v>949</v>
      </c>
      <c r="D16" s="37" t="s">
        <v>20</v>
      </c>
      <c r="E16" s="60">
        <v>640.9</v>
      </c>
      <c r="F16" s="125">
        <v>2551000</v>
      </c>
      <c r="G16" s="125">
        <f t="shared" si="0"/>
        <v>1634935900</v>
      </c>
      <c r="H16" s="106"/>
    </row>
    <row r="17" spans="1:8" ht="110.25">
      <c r="A17" s="140"/>
      <c r="B17" s="62"/>
      <c r="C17" s="48" t="s">
        <v>786</v>
      </c>
      <c r="D17" s="49" t="s">
        <v>20</v>
      </c>
      <c r="E17" s="50">
        <v>305</v>
      </c>
      <c r="F17" s="125">
        <v>5102000</v>
      </c>
      <c r="G17" s="125">
        <f t="shared" si="0"/>
        <v>1556110000</v>
      </c>
      <c r="H17" s="106"/>
    </row>
    <row r="18" spans="1:8" ht="110.25">
      <c r="A18" s="140"/>
      <c r="B18" s="62"/>
      <c r="C18" s="29" t="s">
        <v>943</v>
      </c>
      <c r="D18" s="49" t="s">
        <v>20</v>
      </c>
      <c r="E18" s="50">
        <v>141.8</v>
      </c>
      <c r="F18" s="125">
        <v>2551000</v>
      </c>
      <c r="G18" s="125">
        <f t="shared" si="0"/>
        <v>361731800</v>
      </c>
      <c r="H18" s="106"/>
    </row>
    <row r="19" spans="1:8" ht="78.75">
      <c r="A19" s="54"/>
      <c r="B19" s="30" t="s">
        <v>515</v>
      </c>
      <c r="C19" s="48" t="s">
        <v>780</v>
      </c>
      <c r="D19" s="49" t="s">
        <v>20</v>
      </c>
      <c r="E19" s="84">
        <v>83.6</v>
      </c>
      <c r="F19" s="125">
        <v>5670000</v>
      </c>
      <c r="G19" s="125">
        <f t="shared" si="0"/>
        <v>474011999.99999994</v>
      </c>
      <c r="H19" s="105"/>
    </row>
    <row r="20" spans="1:8" ht="78.75">
      <c r="A20" s="54"/>
      <c r="B20" s="30" t="s">
        <v>523</v>
      </c>
      <c r="C20" s="29" t="s">
        <v>787</v>
      </c>
      <c r="D20" s="49" t="s">
        <v>20</v>
      </c>
      <c r="E20" s="84">
        <v>98.8</v>
      </c>
      <c r="F20" s="125">
        <v>5003000</v>
      </c>
      <c r="G20" s="125">
        <f t="shared" si="0"/>
        <v>494296400</v>
      </c>
      <c r="H20" s="105"/>
    </row>
    <row r="21" spans="1:8" ht="110.25">
      <c r="A21" s="54"/>
      <c r="B21" s="30" t="s">
        <v>889</v>
      </c>
      <c r="C21" s="48" t="s">
        <v>939</v>
      </c>
      <c r="D21" s="37" t="s">
        <v>20</v>
      </c>
      <c r="E21" s="60">
        <v>59.9</v>
      </c>
      <c r="F21" s="125">
        <v>4420000</v>
      </c>
      <c r="G21" s="130">
        <f t="shared" si="0"/>
        <v>264758000</v>
      </c>
      <c r="H21" s="105"/>
    </row>
    <row r="22" spans="1:8" ht="78.75">
      <c r="A22" s="54"/>
      <c r="B22" s="55"/>
      <c r="C22" s="48" t="s">
        <v>780</v>
      </c>
      <c r="D22" s="37" t="s">
        <v>20</v>
      </c>
      <c r="E22" s="50">
        <v>200</v>
      </c>
      <c r="F22" s="125">
        <v>5670000</v>
      </c>
      <c r="G22" s="125">
        <f t="shared" si="0"/>
        <v>1134000000</v>
      </c>
      <c r="H22" s="105"/>
    </row>
    <row r="23" spans="1:8" ht="94.5">
      <c r="A23" s="54"/>
      <c r="B23" s="69"/>
      <c r="C23" s="48" t="s">
        <v>941</v>
      </c>
      <c r="D23" s="37" t="s">
        <v>20</v>
      </c>
      <c r="E23" s="60">
        <v>980.5999999999999</v>
      </c>
      <c r="F23" s="125">
        <v>4420000</v>
      </c>
      <c r="G23" s="130">
        <f t="shared" si="0"/>
        <v>4334252000</v>
      </c>
      <c r="H23" s="105"/>
    </row>
    <row r="24" spans="1:8" ht="63">
      <c r="A24" s="54"/>
      <c r="B24" s="69"/>
      <c r="C24" s="48" t="s">
        <v>777</v>
      </c>
      <c r="D24" s="37" t="s">
        <v>20</v>
      </c>
      <c r="E24" s="60">
        <v>85.7</v>
      </c>
      <c r="F24" s="130">
        <v>5003000</v>
      </c>
      <c r="G24" s="130">
        <f t="shared" si="0"/>
        <v>428757100</v>
      </c>
      <c r="H24" s="105"/>
    </row>
    <row r="25" spans="1:8" ht="78.75">
      <c r="A25" s="54"/>
      <c r="B25" s="30" t="s">
        <v>517</v>
      </c>
      <c r="C25" s="29" t="s">
        <v>785</v>
      </c>
      <c r="D25" s="37" t="s">
        <v>20</v>
      </c>
      <c r="E25" s="84">
        <v>122.8</v>
      </c>
      <c r="F25" s="125">
        <v>5003000</v>
      </c>
      <c r="G25" s="125">
        <f t="shared" si="0"/>
        <v>614368400</v>
      </c>
      <c r="H25" s="144"/>
    </row>
    <row r="26" spans="1:8" ht="94.5">
      <c r="A26" s="54"/>
      <c r="B26" s="30" t="s">
        <v>890</v>
      </c>
      <c r="C26" s="29" t="s">
        <v>789</v>
      </c>
      <c r="D26" s="37" t="s">
        <v>20</v>
      </c>
      <c r="E26" s="84">
        <v>70.4</v>
      </c>
      <c r="F26" s="125">
        <v>5670000</v>
      </c>
      <c r="G26" s="125">
        <f t="shared" si="0"/>
        <v>399168000.00000006</v>
      </c>
      <c r="H26" s="105"/>
    </row>
    <row r="27" spans="1:8" ht="94.5">
      <c r="A27" s="54"/>
      <c r="B27" s="30" t="s">
        <v>518</v>
      </c>
      <c r="C27" s="29" t="s">
        <v>789</v>
      </c>
      <c r="D27" s="37" t="s">
        <v>20</v>
      </c>
      <c r="E27" s="84">
        <v>200</v>
      </c>
      <c r="F27" s="125">
        <v>5670000</v>
      </c>
      <c r="G27" s="125">
        <f t="shared" si="0"/>
        <v>1134000000</v>
      </c>
      <c r="H27" s="105"/>
    </row>
    <row r="28" spans="1:8" ht="110.25">
      <c r="A28" s="54"/>
      <c r="B28" s="30" t="s">
        <v>107</v>
      </c>
      <c r="C28" s="29" t="s">
        <v>936</v>
      </c>
      <c r="D28" s="37" t="s">
        <v>20</v>
      </c>
      <c r="E28" s="84">
        <v>11.2</v>
      </c>
      <c r="F28" s="125">
        <v>4420000</v>
      </c>
      <c r="G28" s="125">
        <f t="shared" si="0"/>
        <v>49504000</v>
      </c>
      <c r="H28" s="105"/>
    </row>
    <row r="29" spans="1:8" ht="110.25">
      <c r="A29" s="54"/>
      <c r="B29" s="30" t="s">
        <v>964</v>
      </c>
      <c r="C29" s="29" t="s">
        <v>936</v>
      </c>
      <c r="D29" s="37" t="s">
        <v>20</v>
      </c>
      <c r="E29" s="84">
        <v>14.9</v>
      </c>
      <c r="F29" s="125">
        <v>4420000</v>
      </c>
      <c r="G29" s="125">
        <f t="shared" si="0"/>
        <v>65858000</v>
      </c>
      <c r="H29" s="105"/>
    </row>
    <row r="30" spans="1:8" ht="94.5">
      <c r="A30" s="54"/>
      <c r="B30" s="30" t="s">
        <v>519</v>
      </c>
      <c r="C30" s="29" t="s">
        <v>791</v>
      </c>
      <c r="D30" s="37" t="s">
        <v>20</v>
      </c>
      <c r="E30" s="227">
        <v>55.7</v>
      </c>
      <c r="F30" s="125">
        <v>5102000</v>
      </c>
      <c r="G30" s="125">
        <f t="shared" si="0"/>
        <v>284181400</v>
      </c>
      <c r="H30" s="105"/>
    </row>
    <row r="31" spans="1:8" ht="94.5">
      <c r="A31" s="54"/>
      <c r="B31" s="30" t="s">
        <v>520</v>
      </c>
      <c r="C31" s="29" t="s">
        <v>790</v>
      </c>
      <c r="D31" s="37" t="s">
        <v>20</v>
      </c>
      <c r="E31" s="84">
        <v>2.5</v>
      </c>
      <c r="F31" s="125">
        <v>5670000</v>
      </c>
      <c r="G31" s="125">
        <f t="shared" si="0"/>
        <v>14175000</v>
      </c>
      <c r="H31" s="105"/>
    </row>
    <row r="32" spans="1:8" ht="94.5">
      <c r="A32" s="54"/>
      <c r="B32" s="30" t="s">
        <v>521</v>
      </c>
      <c r="C32" s="29" t="s">
        <v>791</v>
      </c>
      <c r="D32" s="37" t="s">
        <v>20</v>
      </c>
      <c r="E32" s="84">
        <v>150</v>
      </c>
      <c r="F32" s="125">
        <v>5102000</v>
      </c>
      <c r="G32" s="125">
        <f t="shared" si="0"/>
        <v>765300000</v>
      </c>
      <c r="H32" s="105"/>
    </row>
    <row r="33" spans="1:8" ht="110.25">
      <c r="A33" s="54"/>
      <c r="B33" s="62" t="s">
        <v>131</v>
      </c>
      <c r="C33" s="29" t="s">
        <v>943</v>
      </c>
      <c r="D33" s="37"/>
      <c r="E33" s="84">
        <v>51.5</v>
      </c>
      <c r="F33" s="125">
        <v>2551000</v>
      </c>
      <c r="G33" s="125">
        <f t="shared" si="0"/>
        <v>131376500</v>
      </c>
      <c r="H33" s="105"/>
    </row>
    <row r="34" spans="1:8" ht="94.5">
      <c r="A34" s="61"/>
      <c r="B34" s="30" t="s">
        <v>522</v>
      </c>
      <c r="C34" s="29" t="s">
        <v>789</v>
      </c>
      <c r="D34" s="37" t="s">
        <v>20</v>
      </c>
      <c r="E34" s="50">
        <v>47.9</v>
      </c>
      <c r="F34" s="125">
        <v>5670000</v>
      </c>
      <c r="G34" s="125">
        <f aca="true" t="shared" si="1" ref="G34:G65">F34*E34</f>
        <v>271593000</v>
      </c>
      <c r="H34" s="106"/>
    </row>
    <row r="35" spans="1:8" ht="110.25">
      <c r="A35" s="61"/>
      <c r="B35" s="62" t="s">
        <v>132</v>
      </c>
      <c r="C35" s="29" t="s">
        <v>940</v>
      </c>
      <c r="D35" s="37" t="s">
        <v>20</v>
      </c>
      <c r="E35" s="50">
        <v>12.8</v>
      </c>
      <c r="F35" s="125">
        <v>4420000</v>
      </c>
      <c r="G35" s="125">
        <f t="shared" si="1"/>
        <v>56576000</v>
      </c>
      <c r="H35" s="106"/>
    </row>
    <row r="36" spans="1:8" ht="94.5">
      <c r="A36" s="54"/>
      <c r="B36" s="30" t="s">
        <v>967</v>
      </c>
      <c r="C36" s="29" t="s">
        <v>790</v>
      </c>
      <c r="D36" s="37" t="s">
        <v>20</v>
      </c>
      <c r="E36" s="84">
        <v>47.8</v>
      </c>
      <c r="F36" s="125">
        <v>5670000</v>
      </c>
      <c r="G36" s="125">
        <f t="shared" si="1"/>
        <v>271026000</v>
      </c>
      <c r="H36" s="105"/>
    </row>
    <row r="37" spans="1:8" ht="110.25">
      <c r="A37" s="54"/>
      <c r="B37" s="62" t="s">
        <v>133</v>
      </c>
      <c r="C37" s="29" t="s">
        <v>936</v>
      </c>
      <c r="D37" s="37" t="s">
        <v>20</v>
      </c>
      <c r="E37" s="84">
        <v>11.3</v>
      </c>
      <c r="F37" s="125">
        <v>4420000</v>
      </c>
      <c r="G37" s="125">
        <f t="shared" si="1"/>
        <v>49946000</v>
      </c>
      <c r="H37" s="105"/>
    </row>
    <row r="38" spans="1:8" ht="110.25">
      <c r="A38" s="54"/>
      <c r="B38" s="30" t="s">
        <v>525</v>
      </c>
      <c r="C38" s="29" t="s">
        <v>952</v>
      </c>
      <c r="D38" s="37" t="s">
        <v>20</v>
      </c>
      <c r="E38" s="84">
        <v>199.9</v>
      </c>
      <c r="F38" s="125">
        <v>2551000</v>
      </c>
      <c r="G38" s="125">
        <f t="shared" si="1"/>
        <v>509944900</v>
      </c>
      <c r="H38" s="105"/>
    </row>
    <row r="39" spans="1:8" ht="94.5">
      <c r="A39" s="54"/>
      <c r="B39" s="30" t="s">
        <v>557</v>
      </c>
      <c r="C39" s="29" t="s">
        <v>791</v>
      </c>
      <c r="D39" s="37" t="s">
        <v>20</v>
      </c>
      <c r="E39" s="84">
        <v>200</v>
      </c>
      <c r="F39" s="125">
        <v>5102000</v>
      </c>
      <c r="G39" s="125">
        <f t="shared" si="1"/>
        <v>1020400000</v>
      </c>
      <c r="H39" s="105"/>
    </row>
    <row r="40" spans="1:8" ht="110.25">
      <c r="A40" s="54"/>
      <c r="B40" s="62"/>
      <c r="C40" s="48" t="s">
        <v>943</v>
      </c>
      <c r="D40" s="37" t="s">
        <v>20</v>
      </c>
      <c r="E40" s="84">
        <v>280.4</v>
      </c>
      <c r="F40" s="125">
        <v>2551000</v>
      </c>
      <c r="G40" s="125">
        <f t="shared" si="1"/>
        <v>715300400</v>
      </c>
      <c r="H40" s="105"/>
    </row>
    <row r="41" spans="1:8" ht="94.5">
      <c r="A41" s="54"/>
      <c r="B41" s="55"/>
      <c r="C41" s="229" t="s">
        <v>968</v>
      </c>
      <c r="D41" s="37" t="s">
        <v>20</v>
      </c>
      <c r="E41" s="84">
        <v>230.4</v>
      </c>
      <c r="F41" s="125">
        <v>2551000</v>
      </c>
      <c r="G41" s="125">
        <f t="shared" si="1"/>
        <v>587750400</v>
      </c>
      <c r="H41" s="105"/>
    </row>
    <row r="42" spans="1:8" ht="94.5">
      <c r="A42" s="54"/>
      <c r="B42" s="55"/>
      <c r="C42" s="29" t="s">
        <v>794</v>
      </c>
      <c r="D42" s="37" t="s">
        <v>20</v>
      </c>
      <c r="E42" s="84">
        <v>800</v>
      </c>
      <c r="F42" s="125">
        <v>5102000</v>
      </c>
      <c r="G42" s="125">
        <f t="shared" si="1"/>
        <v>4081600000</v>
      </c>
      <c r="H42" s="105"/>
    </row>
    <row r="43" spans="1:8" ht="110.25">
      <c r="A43" s="54"/>
      <c r="B43" s="55"/>
      <c r="C43" s="48" t="s">
        <v>951</v>
      </c>
      <c r="D43" s="37" t="s">
        <v>20</v>
      </c>
      <c r="E43" s="84">
        <v>1026</v>
      </c>
      <c r="F43" s="125">
        <v>2551000</v>
      </c>
      <c r="G43" s="125">
        <f t="shared" si="1"/>
        <v>2617326000</v>
      </c>
      <c r="H43" s="105"/>
    </row>
    <row r="44" spans="1:8" ht="63">
      <c r="A44" s="54"/>
      <c r="B44" s="30"/>
      <c r="C44" s="29" t="s">
        <v>795</v>
      </c>
      <c r="D44" s="37" t="s">
        <v>20</v>
      </c>
      <c r="E44" s="84">
        <v>305.4</v>
      </c>
      <c r="F44" s="125">
        <v>14174000</v>
      </c>
      <c r="G44" s="125">
        <f t="shared" si="1"/>
        <v>4328739600</v>
      </c>
      <c r="H44" s="105"/>
    </row>
    <row r="45" spans="1:8" ht="110.25">
      <c r="A45" s="54"/>
      <c r="B45" s="30" t="s">
        <v>523</v>
      </c>
      <c r="C45" s="229" t="s">
        <v>943</v>
      </c>
      <c r="D45" s="37" t="s">
        <v>20</v>
      </c>
      <c r="E45" s="84">
        <v>250.3</v>
      </c>
      <c r="F45" s="125">
        <v>2551000</v>
      </c>
      <c r="G45" s="125">
        <f t="shared" si="1"/>
        <v>638515300</v>
      </c>
      <c r="H45" s="105"/>
    </row>
    <row r="46" spans="1:8" ht="110.25">
      <c r="A46" s="54"/>
      <c r="B46" s="30" t="s">
        <v>969</v>
      </c>
      <c r="C46" s="48" t="s">
        <v>937</v>
      </c>
      <c r="D46" s="37" t="s">
        <v>20</v>
      </c>
      <c r="E46" s="77">
        <v>111.3</v>
      </c>
      <c r="F46" s="125">
        <v>4420000</v>
      </c>
      <c r="G46" s="125">
        <f t="shared" si="1"/>
        <v>491946000</v>
      </c>
      <c r="H46" s="105"/>
    </row>
    <row r="47" spans="1:8" ht="110.25">
      <c r="A47" s="54"/>
      <c r="B47" s="30" t="s">
        <v>525</v>
      </c>
      <c r="C47" s="48" t="s">
        <v>937</v>
      </c>
      <c r="D47" s="37" t="s">
        <v>20</v>
      </c>
      <c r="E47" s="84">
        <v>55.8</v>
      </c>
      <c r="F47" s="125">
        <v>4420000</v>
      </c>
      <c r="G47" s="125">
        <f t="shared" si="1"/>
        <v>246636000</v>
      </c>
      <c r="H47" s="105"/>
    </row>
    <row r="48" spans="1:8" ht="78.75">
      <c r="A48" s="54"/>
      <c r="B48" s="30" t="s">
        <v>524</v>
      </c>
      <c r="C48" s="29" t="s">
        <v>785</v>
      </c>
      <c r="D48" s="37" t="s">
        <v>20</v>
      </c>
      <c r="E48" s="84">
        <v>194</v>
      </c>
      <c r="F48" s="125">
        <v>5003000</v>
      </c>
      <c r="G48" s="125">
        <f t="shared" si="1"/>
        <v>970582000</v>
      </c>
      <c r="H48" s="105"/>
    </row>
    <row r="49" spans="1:8" ht="78.75">
      <c r="A49" s="54"/>
      <c r="B49" s="30" t="s">
        <v>525</v>
      </c>
      <c r="C49" s="29" t="s">
        <v>814</v>
      </c>
      <c r="D49" s="37" t="s">
        <v>20</v>
      </c>
      <c r="E49" s="84">
        <v>40</v>
      </c>
      <c r="F49" s="125">
        <v>8504500</v>
      </c>
      <c r="G49" s="125">
        <f t="shared" si="1"/>
        <v>340180000</v>
      </c>
      <c r="H49" s="105"/>
    </row>
    <row r="50" spans="1:8" ht="110.25">
      <c r="A50" s="54"/>
      <c r="B50" s="62" t="s">
        <v>173</v>
      </c>
      <c r="C50" s="29" t="s">
        <v>813</v>
      </c>
      <c r="D50" s="37" t="s">
        <v>20</v>
      </c>
      <c r="E50" s="84">
        <v>10.2</v>
      </c>
      <c r="F50" s="125">
        <v>6704500</v>
      </c>
      <c r="G50" s="125">
        <f t="shared" si="1"/>
        <v>68385900</v>
      </c>
      <c r="H50" s="105"/>
    </row>
    <row r="51" spans="1:8" ht="94.5">
      <c r="A51" s="54"/>
      <c r="B51" s="30" t="s">
        <v>526</v>
      </c>
      <c r="C51" s="29" t="s">
        <v>970</v>
      </c>
      <c r="D51" s="37" t="s">
        <v>20</v>
      </c>
      <c r="E51" s="84">
        <v>20</v>
      </c>
      <c r="F51" s="125">
        <v>8504500</v>
      </c>
      <c r="G51" s="125">
        <f t="shared" si="1"/>
        <v>170090000</v>
      </c>
      <c r="H51" s="105"/>
    </row>
    <row r="52" spans="1:8" ht="110.25">
      <c r="A52" s="54"/>
      <c r="B52" s="30" t="s">
        <v>214</v>
      </c>
      <c r="C52" s="29" t="s">
        <v>971</v>
      </c>
      <c r="D52" s="37" t="s">
        <v>20</v>
      </c>
      <c r="E52" s="84">
        <v>51.7</v>
      </c>
      <c r="F52" s="125">
        <v>6704500</v>
      </c>
      <c r="G52" s="125">
        <f t="shared" si="1"/>
        <v>346622650</v>
      </c>
      <c r="H52" s="105"/>
    </row>
    <row r="53" spans="1:8" ht="78.75">
      <c r="A53" s="54"/>
      <c r="B53" s="30" t="s">
        <v>527</v>
      </c>
      <c r="C53" s="29" t="s">
        <v>814</v>
      </c>
      <c r="D53" s="37" t="s">
        <v>20</v>
      </c>
      <c r="E53" s="50">
        <v>20</v>
      </c>
      <c r="F53" s="125">
        <v>8504500</v>
      </c>
      <c r="G53" s="125">
        <f t="shared" si="1"/>
        <v>170090000</v>
      </c>
      <c r="H53" s="105"/>
    </row>
    <row r="54" spans="1:8" ht="110.25">
      <c r="A54" s="54"/>
      <c r="B54" s="62"/>
      <c r="C54" s="29" t="s">
        <v>917</v>
      </c>
      <c r="D54" s="37" t="s">
        <v>20</v>
      </c>
      <c r="E54" s="50">
        <v>38.2</v>
      </c>
      <c r="F54" s="125">
        <v>6704500</v>
      </c>
      <c r="G54" s="125">
        <f t="shared" si="1"/>
        <v>256111900.00000003</v>
      </c>
      <c r="H54" s="105"/>
    </row>
    <row r="55" spans="1:8" ht="78.75">
      <c r="A55" s="54"/>
      <c r="B55" s="30" t="s">
        <v>523</v>
      </c>
      <c r="C55" s="29" t="s">
        <v>814</v>
      </c>
      <c r="D55" s="37" t="s">
        <v>20</v>
      </c>
      <c r="E55" s="84">
        <v>95.3</v>
      </c>
      <c r="F55" s="125">
        <v>8504500</v>
      </c>
      <c r="G55" s="125">
        <f t="shared" si="1"/>
        <v>810478850</v>
      </c>
      <c r="H55" s="105"/>
    </row>
    <row r="56" spans="1:8" ht="78.75">
      <c r="A56" s="54"/>
      <c r="B56" s="62"/>
      <c r="C56" s="29" t="s">
        <v>814</v>
      </c>
      <c r="D56" s="37" t="s">
        <v>20</v>
      </c>
      <c r="E56" s="84">
        <v>18</v>
      </c>
      <c r="F56" s="125">
        <v>8504500</v>
      </c>
      <c r="G56" s="125">
        <f t="shared" si="1"/>
        <v>153081000</v>
      </c>
      <c r="H56" s="105"/>
    </row>
    <row r="57" spans="1:8" ht="110.25">
      <c r="A57" s="54"/>
      <c r="B57" s="69"/>
      <c r="C57" s="29" t="s">
        <v>813</v>
      </c>
      <c r="D57" s="37" t="s">
        <v>20</v>
      </c>
      <c r="E57" s="84">
        <v>24.3</v>
      </c>
      <c r="F57" s="125">
        <v>6704500</v>
      </c>
      <c r="G57" s="125">
        <f t="shared" si="1"/>
        <v>162919350</v>
      </c>
      <c r="H57" s="105"/>
    </row>
    <row r="58" spans="1:8" ht="78.75">
      <c r="A58" s="54"/>
      <c r="B58" s="30"/>
      <c r="C58" s="29" t="s">
        <v>814</v>
      </c>
      <c r="D58" s="37" t="s">
        <v>20</v>
      </c>
      <c r="E58" s="84">
        <v>20</v>
      </c>
      <c r="F58" s="125">
        <v>8504500</v>
      </c>
      <c r="G58" s="125">
        <f t="shared" si="1"/>
        <v>170090000</v>
      </c>
      <c r="H58" s="105"/>
    </row>
    <row r="59" spans="1:8" ht="110.25">
      <c r="A59" s="54"/>
      <c r="B59" s="62"/>
      <c r="C59" s="29" t="s">
        <v>813</v>
      </c>
      <c r="D59" s="37" t="s">
        <v>20</v>
      </c>
      <c r="E59" s="84">
        <v>43.1</v>
      </c>
      <c r="F59" s="125">
        <v>6704500</v>
      </c>
      <c r="G59" s="125">
        <f t="shared" si="1"/>
        <v>288963950</v>
      </c>
      <c r="H59" s="105"/>
    </row>
    <row r="60" spans="1:8" ht="78.75">
      <c r="A60" s="54"/>
      <c r="B60" s="62" t="s">
        <v>797</v>
      </c>
      <c r="C60" s="29" t="s">
        <v>814</v>
      </c>
      <c r="D60" s="49" t="s">
        <v>20</v>
      </c>
      <c r="E60" s="84">
        <v>18</v>
      </c>
      <c r="F60" s="125">
        <v>8504500</v>
      </c>
      <c r="G60" s="125">
        <f t="shared" si="1"/>
        <v>153081000</v>
      </c>
      <c r="H60" s="105"/>
    </row>
    <row r="61" spans="1:8" ht="110.25">
      <c r="A61" s="54"/>
      <c r="B61" s="62"/>
      <c r="C61" s="29" t="s">
        <v>917</v>
      </c>
      <c r="D61" s="49" t="s">
        <v>20</v>
      </c>
      <c r="E61" s="84">
        <v>34.5</v>
      </c>
      <c r="F61" s="125">
        <v>6704500</v>
      </c>
      <c r="G61" s="125">
        <f t="shared" si="1"/>
        <v>231305250</v>
      </c>
      <c r="H61" s="105"/>
    </row>
    <row r="62" spans="1:8" ht="78.75">
      <c r="A62" s="54"/>
      <c r="B62" s="62" t="s">
        <v>236</v>
      </c>
      <c r="C62" s="29" t="s">
        <v>814</v>
      </c>
      <c r="D62" s="37" t="s">
        <v>20</v>
      </c>
      <c r="E62" s="84">
        <v>29</v>
      </c>
      <c r="F62" s="125">
        <v>8504500</v>
      </c>
      <c r="G62" s="125">
        <f t="shared" si="1"/>
        <v>246630500</v>
      </c>
      <c r="H62" s="105"/>
    </row>
    <row r="63" spans="1:8" ht="110.25">
      <c r="A63" s="54"/>
      <c r="B63" s="55"/>
      <c r="C63" s="29" t="s">
        <v>813</v>
      </c>
      <c r="D63" s="37" t="s">
        <v>20</v>
      </c>
      <c r="E63" s="84">
        <v>71.9</v>
      </c>
      <c r="F63" s="125">
        <v>6704500</v>
      </c>
      <c r="G63" s="125">
        <f t="shared" si="1"/>
        <v>482053550.00000006</v>
      </c>
      <c r="H63" s="105"/>
    </row>
    <row r="64" spans="1:8" ht="110.25">
      <c r="A64" s="54"/>
      <c r="B64" s="62" t="s">
        <v>243</v>
      </c>
      <c r="C64" s="48" t="s">
        <v>809</v>
      </c>
      <c r="D64" s="49" t="s">
        <v>20</v>
      </c>
      <c r="E64" s="84">
        <v>348.3</v>
      </c>
      <c r="F64" s="125">
        <v>6704500</v>
      </c>
      <c r="G64" s="125">
        <f t="shared" si="1"/>
        <v>2335177350</v>
      </c>
      <c r="H64" s="105"/>
    </row>
    <row r="65" spans="1:8" ht="78.75">
      <c r="A65" s="54"/>
      <c r="B65" s="55"/>
      <c r="C65" s="29" t="s">
        <v>894</v>
      </c>
      <c r="D65" s="37" t="s">
        <v>20</v>
      </c>
      <c r="E65" s="84">
        <v>15</v>
      </c>
      <c r="F65" s="125">
        <v>8504500</v>
      </c>
      <c r="G65" s="125">
        <f t="shared" si="1"/>
        <v>127567500</v>
      </c>
      <c r="H65" s="105"/>
    </row>
    <row r="66" spans="1:8" ht="110.25">
      <c r="A66" s="54"/>
      <c r="B66" s="55"/>
      <c r="C66" s="48" t="s">
        <v>813</v>
      </c>
      <c r="D66" s="37" t="s">
        <v>20</v>
      </c>
      <c r="E66" s="84">
        <v>9.3</v>
      </c>
      <c r="F66" s="125">
        <v>6704500</v>
      </c>
      <c r="G66" s="125">
        <f aca="true" t="shared" si="2" ref="G66:G97">F66*E66</f>
        <v>62351850.00000001</v>
      </c>
      <c r="H66" s="105"/>
    </row>
    <row r="67" spans="1:8" ht="110.25">
      <c r="A67" s="54"/>
      <c r="B67" s="30" t="s">
        <v>568</v>
      </c>
      <c r="C67" s="48" t="s">
        <v>809</v>
      </c>
      <c r="D67" s="49" t="s">
        <v>20</v>
      </c>
      <c r="E67" s="84">
        <v>608.3</v>
      </c>
      <c r="F67" s="125">
        <v>6704500</v>
      </c>
      <c r="G67" s="125">
        <f t="shared" si="2"/>
        <v>4078347349.9999995</v>
      </c>
      <c r="H67" s="105"/>
    </row>
    <row r="68" spans="1:8" ht="110.25">
      <c r="A68" s="54"/>
      <c r="B68" s="30" t="s">
        <v>530</v>
      </c>
      <c r="C68" s="48" t="s">
        <v>809</v>
      </c>
      <c r="D68" s="49" t="s">
        <v>20</v>
      </c>
      <c r="E68" s="84">
        <v>339.8</v>
      </c>
      <c r="F68" s="125">
        <v>6704500</v>
      </c>
      <c r="G68" s="125">
        <f t="shared" si="2"/>
        <v>2278189100</v>
      </c>
      <c r="H68" s="105"/>
    </row>
    <row r="69" spans="1:8" ht="110.25">
      <c r="A69" s="54"/>
      <c r="B69" s="55"/>
      <c r="C69" s="48" t="s">
        <v>809</v>
      </c>
      <c r="D69" s="49" t="s">
        <v>20</v>
      </c>
      <c r="E69" s="84">
        <v>319.1</v>
      </c>
      <c r="F69" s="125">
        <v>6704500</v>
      </c>
      <c r="G69" s="125">
        <f t="shared" si="2"/>
        <v>2139405950.0000002</v>
      </c>
      <c r="H69" s="105"/>
    </row>
    <row r="70" spans="1:8" ht="110.25">
      <c r="A70" s="54"/>
      <c r="B70" s="55"/>
      <c r="C70" s="48" t="s">
        <v>955</v>
      </c>
      <c r="D70" s="49" t="s">
        <v>20</v>
      </c>
      <c r="E70" s="84">
        <v>343</v>
      </c>
      <c r="F70" s="125">
        <v>6704500</v>
      </c>
      <c r="G70" s="125">
        <f t="shared" si="2"/>
        <v>2299643500</v>
      </c>
      <c r="H70" s="105"/>
    </row>
    <row r="71" spans="1:8" ht="110.25">
      <c r="A71" s="54"/>
      <c r="B71" s="62" t="s">
        <v>256</v>
      </c>
      <c r="C71" s="29" t="s">
        <v>809</v>
      </c>
      <c r="D71" s="37" t="s">
        <v>20</v>
      </c>
      <c r="E71" s="84">
        <v>525.6</v>
      </c>
      <c r="F71" s="125">
        <v>6704500</v>
      </c>
      <c r="G71" s="125">
        <f t="shared" si="2"/>
        <v>3523885200</v>
      </c>
      <c r="H71" s="105"/>
    </row>
    <row r="72" spans="1:8" ht="94.5">
      <c r="A72" s="54"/>
      <c r="B72" s="30" t="s">
        <v>530</v>
      </c>
      <c r="C72" s="29" t="s">
        <v>810</v>
      </c>
      <c r="D72" s="37" t="s">
        <v>20</v>
      </c>
      <c r="E72" s="84">
        <v>2252.9</v>
      </c>
      <c r="F72" s="125">
        <v>6704500</v>
      </c>
      <c r="G72" s="125">
        <f t="shared" si="2"/>
        <v>15104568050</v>
      </c>
      <c r="H72" s="105"/>
    </row>
    <row r="73" spans="1:8" ht="110.25">
      <c r="A73" s="54"/>
      <c r="B73" s="62" t="s">
        <v>258</v>
      </c>
      <c r="C73" s="29" t="s">
        <v>954</v>
      </c>
      <c r="D73" s="37" t="s">
        <v>20</v>
      </c>
      <c r="E73" s="84">
        <v>5927.4</v>
      </c>
      <c r="F73" s="125">
        <v>3352000</v>
      </c>
      <c r="G73" s="125">
        <f t="shared" si="2"/>
        <v>19868644800</v>
      </c>
      <c r="H73" s="105"/>
    </row>
    <row r="74" spans="1:8" ht="78.75">
      <c r="A74" s="54"/>
      <c r="B74" s="30" t="s">
        <v>525</v>
      </c>
      <c r="C74" s="29" t="s">
        <v>956</v>
      </c>
      <c r="D74" s="37" t="s">
        <v>20</v>
      </c>
      <c r="E74" s="84">
        <v>39.1</v>
      </c>
      <c r="F74" s="125">
        <v>24228000</v>
      </c>
      <c r="G74" s="125">
        <f t="shared" si="2"/>
        <v>947314800</v>
      </c>
      <c r="H74" s="105"/>
    </row>
    <row r="75" spans="1:8" ht="110.25">
      <c r="A75" s="54"/>
      <c r="B75" s="62" t="s">
        <v>274</v>
      </c>
      <c r="C75" s="48" t="s">
        <v>809</v>
      </c>
      <c r="D75" s="37" t="s">
        <v>20</v>
      </c>
      <c r="E75" s="84">
        <v>301</v>
      </c>
      <c r="F75" s="125">
        <v>6704500</v>
      </c>
      <c r="G75" s="125">
        <f t="shared" si="2"/>
        <v>2018054500</v>
      </c>
      <c r="H75" s="105"/>
    </row>
    <row r="76" spans="1:8" ht="110.25">
      <c r="A76" s="54"/>
      <c r="B76" s="62" t="s">
        <v>276</v>
      </c>
      <c r="C76" s="48" t="s">
        <v>809</v>
      </c>
      <c r="D76" s="37" t="s">
        <v>20</v>
      </c>
      <c r="E76" s="84">
        <v>301.4</v>
      </c>
      <c r="F76" s="125">
        <v>6704500</v>
      </c>
      <c r="G76" s="125">
        <f t="shared" si="2"/>
        <v>2020736299.9999998</v>
      </c>
      <c r="H76" s="105"/>
    </row>
    <row r="77" spans="1:8" ht="94.5">
      <c r="A77" s="54"/>
      <c r="B77" s="62" t="s">
        <v>278</v>
      </c>
      <c r="C77" s="29" t="s">
        <v>799</v>
      </c>
      <c r="D77" s="37" t="s">
        <v>20</v>
      </c>
      <c r="E77" s="84">
        <v>108</v>
      </c>
      <c r="F77" s="125">
        <v>5102000</v>
      </c>
      <c r="G77" s="125">
        <f t="shared" si="2"/>
        <v>551016000</v>
      </c>
      <c r="H77" s="105"/>
    </row>
    <row r="78" spans="1:8" ht="110.25">
      <c r="A78" s="54"/>
      <c r="B78" s="55"/>
      <c r="C78" s="48" t="s">
        <v>944</v>
      </c>
      <c r="D78" s="37" t="s">
        <v>20</v>
      </c>
      <c r="E78" s="84">
        <v>40.5</v>
      </c>
      <c r="F78" s="125">
        <v>2551000</v>
      </c>
      <c r="G78" s="125">
        <f t="shared" si="2"/>
        <v>103315500</v>
      </c>
      <c r="H78" s="105"/>
    </row>
    <row r="79" spans="1:8" ht="78.75">
      <c r="A79" s="54"/>
      <c r="B79" s="62" t="s">
        <v>286</v>
      </c>
      <c r="C79" s="29" t="s">
        <v>814</v>
      </c>
      <c r="D79" s="37" t="s">
        <v>20</v>
      </c>
      <c r="E79" s="84">
        <v>20</v>
      </c>
      <c r="F79" s="125">
        <v>8504500</v>
      </c>
      <c r="G79" s="125">
        <f t="shared" si="2"/>
        <v>170090000</v>
      </c>
      <c r="H79" s="105"/>
    </row>
    <row r="80" spans="1:8" ht="94.5">
      <c r="A80" s="54"/>
      <c r="B80" s="55"/>
      <c r="C80" s="48" t="s">
        <v>974</v>
      </c>
      <c r="D80" s="37" t="s">
        <v>20</v>
      </c>
      <c r="E80" s="84">
        <v>38.5</v>
      </c>
      <c r="F80" s="125">
        <v>6704500</v>
      </c>
      <c r="G80" s="125">
        <f t="shared" si="2"/>
        <v>258123250</v>
      </c>
      <c r="H80" s="105"/>
    </row>
    <row r="81" spans="1:8" ht="78.75">
      <c r="A81" s="54"/>
      <c r="B81" s="30" t="s">
        <v>602</v>
      </c>
      <c r="C81" s="29" t="s">
        <v>814</v>
      </c>
      <c r="D81" s="37" t="s">
        <v>20</v>
      </c>
      <c r="E81" s="84">
        <v>1494.1</v>
      </c>
      <c r="F81" s="125">
        <v>8504500</v>
      </c>
      <c r="G81" s="125">
        <f t="shared" si="2"/>
        <v>12706573450</v>
      </c>
      <c r="H81" s="105"/>
    </row>
    <row r="82" spans="1:8" ht="31.5">
      <c r="A82" s="54"/>
      <c r="B82" s="55"/>
      <c r="C82" s="48" t="s">
        <v>953</v>
      </c>
      <c r="D82" s="37" t="s">
        <v>20</v>
      </c>
      <c r="E82" s="84">
        <v>345.7</v>
      </c>
      <c r="F82" s="125">
        <v>1841000</v>
      </c>
      <c r="G82" s="125">
        <f t="shared" si="2"/>
        <v>636433700</v>
      </c>
      <c r="H82" s="105"/>
    </row>
    <row r="83" spans="1:8" ht="31.5">
      <c r="A83" s="54"/>
      <c r="B83" s="55"/>
      <c r="C83" s="48" t="s">
        <v>953</v>
      </c>
      <c r="D83" s="37" t="s">
        <v>20</v>
      </c>
      <c r="E83" s="84">
        <v>15.7</v>
      </c>
      <c r="F83" s="125">
        <v>1841000</v>
      </c>
      <c r="G83" s="125">
        <f t="shared" si="2"/>
        <v>28903700</v>
      </c>
      <c r="H83" s="105"/>
    </row>
    <row r="84" spans="1:8" ht="31.5">
      <c r="A84" s="54"/>
      <c r="B84" s="55"/>
      <c r="C84" s="48" t="s">
        <v>953</v>
      </c>
      <c r="D84" s="37" t="s">
        <v>20</v>
      </c>
      <c r="E84" s="84">
        <v>39</v>
      </c>
      <c r="F84" s="125">
        <v>1841000</v>
      </c>
      <c r="G84" s="125">
        <f t="shared" si="2"/>
        <v>71799000</v>
      </c>
      <c r="H84" s="105"/>
    </row>
    <row r="85" spans="1:8" ht="78.75">
      <c r="A85" s="61"/>
      <c r="B85" s="224" t="s">
        <v>295</v>
      </c>
      <c r="C85" s="48" t="s">
        <v>801</v>
      </c>
      <c r="D85" s="37" t="s">
        <v>20</v>
      </c>
      <c r="E85" s="60">
        <v>0.7</v>
      </c>
      <c r="F85" s="130">
        <v>7087000</v>
      </c>
      <c r="G85" s="125">
        <f t="shared" si="2"/>
        <v>4960900</v>
      </c>
      <c r="H85" s="106"/>
    </row>
    <row r="86" spans="1:8" ht="78.75">
      <c r="A86" s="54"/>
      <c r="B86" s="62" t="s">
        <v>298</v>
      </c>
      <c r="C86" s="29" t="s">
        <v>814</v>
      </c>
      <c r="D86" s="37" t="s">
        <v>20</v>
      </c>
      <c r="E86" s="84">
        <v>154.1</v>
      </c>
      <c r="F86" s="125">
        <v>8504500</v>
      </c>
      <c r="G86" s="125">
        <f t="shared" si="2"/>
        <v>1310543450</v>
      </c>
      <c r="H86" s="105"/>
    </row>
    <row r="87" spans="1:8" ht="78.75">
      <c r="A87" s="61"/>
      <c r="B87" s="62" t="s">
        <v>299</v>
      </c>
      <c r="C87" s="29" t="s">
        <v>814</v>
      </c>
      <c r="D87" s="37" t="s">
        <v>20</v>
      </c>
      <c r="E87" s="60">
        <v>143.5</v>
      </c>
      <c r="F87" s="125">
        <v>8504500</v>
      </c>
      <c r="G87" s="125">
        <f t="shared" si="2"/>
        <v>1220395750</v>
      </c>
      <c r="H87" s="106"/>
    </row>
    <row r="88" spans="1:8" ht="63">
      <c r="A88" s="54"/>
      <c r="B88" s="30" t="s">
        <v>525</v>
      </c>
      <c r="C88" s="48" t="s">
        <v>802</v>
      </c>
      <c r="D88" s="37" t="s">
        <v>20</v>
      </c>
      <c r="E88" s="84">
        <v>90.8</v>
      </c>
      <c r="F88" s="125">
        <v>14174000</v>
      </c>
      <c r="G88" s="125">
        <f t="shared" si="2"/>
        <v>1286999200</v>
      </c>
      <c r="H88" s="105"/>
    </row>
    <row r="89" spans="1:8" ht="63">
      <c r="A89" s="54"/>
      <c r="B89" s="62" t="s">
        <v>18</v>
      </c>
      <c r="C89" s="48" t="s">
        <v>803</v>
      </c>
      <c r="D89" s="37" t="s">
        <v>20</v>
      </c>
      <c r="E89" s="84">
        <v>243.04</v>
      </c>
      <c r="F89" s="125">
        <v>14174000</v>
      </c>
      <c r="G89" s="125">
        <f t="shared" si="2"/>
        <v>3444848960</v>
      </c>
      <c r="H89" s="105"/>
    </row>
    <row r="90" spans="1:8" ht="78.75">
      <c r="A90" s="54"/>
      <c r="B90" s="55"/>
      <c r="C90" s="29" t="s">
        <v>801</v>
      </c>
      <c r="D90" s="37" t="s">
        <v>20</v>
      </c>
      <c r="E90" s="84">
        <v>98.66</v>
      </c>
      <c r="F90" s="125">
        <v>7087000</v>
      </c>
      <c r="G90" s="125">
        <f t="shared" si="2"/>
        <v>699203420</v>
      </c>
      <c r="H90" s="105"/>
    </row>
    <row r="91" spans="1:8" ht="78.75">
      <c r="A91" s="61"/>
      <c r="B91" s="30" t="s">
        <v>534</v>
      </c>
      <c r="C91" s="29" t="s">
        <v>897</v>
      </c>
      <c r="D91" s="37" t="s">
        <v>20</v>
      </c>
      <c r="E91" s="50">
        <v>160</v>
      </c>
      <c r="F91" s="125">
        <v>6791600</v>
      </c>
      <c r="G91" s="125">
        <f t="shared" si="2"/>
        <v>1086656000</v>
      </c>
      <c r="H91" s="106"/>
    </row>
    <row r="92" spans="1:8" ht="31.5">
      <c r="A92" s="54"/>
      <c r="B92" s="30" t="s">
        <v>892</v>
      </c>
      <c r="C92" s="48" t="s">
        <v>953</v>
      </c>
      <c r="D92" s="37" t="s">
        <v>20</v>
      </c>
      <c r="E92" s="84">
        <v>79.8</v>
      </c>
      <c r="F92" s="125">
        <v>1841000</v>
      </c>
      <c r="G92" s="125">
        <f t="shared" si="2"/>
        <v>146911800</v>
      </c>
      <c r="H92" s="105"/>
    </row>
    <row r="93" spans="1:8" ht="94.5">
      <c r="A93" s="54"/>
      <c r="B93" s="30"/>
      <c r="C93" s="48" t="s">
        <v>815</v>
      </c>
      <c r="D93" s="37" t="s">
        <v>20</v>
      </c>
      <c r="E93" s="84">
        <v>3.0999999999999996</v>
      </c>
      <c r="F93" s="125">
        <v>7583500</v>
      </c>
      <c r="G93" s="125">
        <f t="shared" si="2"/>
        <v>23508849.999999996</v>
      </c>
      <c r="H93" s="106"/>
    </row>
    <row r="94" spans="1:8" ht="94.5">
      <c r="A94" s="61"/>
      <c r="B94" s="30"/>
      <c r="C94" s="29" t="s">
        <v>816</v>
      </c>
      <c r="D94" s="37" t="s">
        <v>20</v>
      </c>
      <c r="E94" s="60">
        <v>3.7</v>
      </c>
      <c r="F94" s="125">
        <v>10187500</v>
      </c>
      <c r="G94" s="125">
        <f t="shared" si="2"/>
        <v>37693750</v>
      </c>
      <c r="H94" s="106"/>
    </row>
    <row r="95" spans="1:8" ht="63">
      <c r="A95" s="54"/>
      <c r="B95" s="62" t="s">
        <v>329</v>
      </c>
      <c r="C95" s="48" t="s">
        <v>807</v>
      </c>
      <c r="D95" s="37" t="s">
        <v>20</v>
      </c>
      <c r="E95" s="84">
        <v>6.300000000000001</v>
      </c>
      <c r="F95" s="125">
        <v>33958000</v>
      </c>
      <c r="G95" s="125">
        <f t="shared" si="2"/>
        <v>213935400.00000003</v>
      </c>
      <c r="H95" s="105"/>
    </row>
    <row r="96" spans="1:8" ht="63">
      <c r="A96" s="54"/>
      <c r="B96" s="62" t="s">
        <v>337</v>
      </c>
      <c r="C96" s="48" t="s">
        <v>806</v>
      </c>
      <c r="D96" s="37" t="s">
        <v>20</v>
      </c>
      <c r="E96" s="84">
        <v>3.0999999999999996</v>
      </c>
      <c r="F96" s="125">
        <v>33958000</v>
      </c>
      <c r="G96" s="125">
        <f t="shared" si="2"/>
        <v>105269799.99999999</v>
      </c>
      <c r="H96" s="105"/>
    </row>
    <row r="97" spans="1:8" ht="94.5">
      <c r="A97" s="54"/>
      <c r="B97" s="30" t="s">
        <v>539</v>
      </c>
      <c r="C97" s="48" t="s">
        <v>959</v>
      </c>
      <c r="D97" s="37" t="s">
        <v>20</v>
      </c>
      <c r="E97" s="84">
        <v>213.8</v>
      </c>
      <c r="F97" s="125">
        <v>5205600</v>
      </c>
      <c r="G97" s="125">
        <f t="shared" si="2"/>
        <v>1112957280</v>
      </c>
      <c r="H97" s="105"/>
    </row>
    <row r="98" spans="1:8" ht="78.75">
      <c r="A98" s="54"/>
      <c r="B98" s="30" t="s">
        <v>540</v>
      </c>
      <c r="C98" s="29" t="s">
        <v>897</v>
      </c>
      <c r="D98" s="37" t="s">
        <v>20</v>
      </c>
      <c r="E98" s="84">
        <v>160</v>
      </c>
      <c r="F98" s="125">
        <v>6791600</v>
      </c>
      <c r="G98" s="125">
        <f aca="true" t="shared" si="3" ref="G98:G129">F98*E98</f>
        <v>1086656000</v>
      </c>
      <c r="H98" s="105"/>
    </row>
    <row r="99" spans="1:8" ht="63">
      <c r="A99" s="54"/>
      <c r="B99" s="30" t="s">
        <v>541</v>
      </c>
      <c r="C99" s="48" t="s">
        <v>806</v>
      </c>
      <c r="D99" s="37" t="s">
        <v>20</v>
      </c>
      <c r="E99" s="60">
        <v>4.699999999999999</v>
      </c>
      <c r="F99" s="125">
        <v>33958000</v>
      </c>
      <c r="G99" s="130">
        <f t="shared" si="3"/>
        <v>159602599.99999997</v>
      </c>
      <c r="H99" s="105"/>
    </row>
    <row r="100" spans="1:8" ht="63">
      <c r="A100" s="54"/>
      <c r="B100" s="217"/>
      <c r="C100" s="48" t="s">
        <v>806</v>
      </c>
      <c r="D100" s="37" t="s">
        <v>20</v>
      </c>
      <c r="E100" s="84">
        <v>0.6</v>
      </c>
      <c r="F100" s="125">
        <v>33958000</v>
      </c>
      <c r="G100" s="125">
        <f t="shared" si="3"/>
        <v>20374800</v>
      </c>
      <c r="H100" s="105"/>
    </row>
    <row r="101" spans="1:8" ht="78.75">
      <c r="A101" s="54"/>
      <c r="B101" s="30" t="s">
        <v>982</v>
      </c>
      <c r="C101" s="29" t="s">
        <v>896</v>
      </c>
      <c r="D101" s="37" t="s">
        <v>20</v>
      </c>
      <c r="E101" s="77">
        <v>64.6</v>
      </c>
      <c r="F101" s="125">
        <v>6791600</v>
      </c>
      <c r="G101" s="125">
        <f t="shared" si="3"/>
        <v>438737359.99999994</v>
      </c>
      <c r="H101" s="105"/>
    </row>
    <row r="102" spans="1:8" ht="78.75">
      <c r="A102" s="54"/>
      <c r="B102" s="55"/>
      <c r="C102" s="29" t="s">
        <v>896</v>
      </c>
      <c r="D102" s="37" t="s">
        <v>20</v>
      </c>
      <c r="E102" s="84">
        <v>76.60000000000001</v>
      </c>
      <c r="F102" s="125">
        <v>6791600</v>
      </c>
      <c r="G102" s="125">
        <f t="shared" si="3"/>
        <v>520236560.00000006</v>
      </c>
      <c r="H102" s="105"/>
    </row>
    <row r="103" spans="1:8" ht="63">
      <c r="A103" s="54"/>
      <c r="B103" s="30" t="s">
        <v>543</v>
      </c>
      <c r="C103" s="48" t="s">
        <v>806</v>
      </c>
      <c r="D103" s="37" t="s">
        <v>20</v>
      </c>
      <c r="E103" s="84">
        <v>1.9000000000000004</v>
      </c>
      <c r="F103" s="125">
        <v>33958000</v>
      </c>
      <c r="G103" s="125">
        <f t="shared" si="3"/>
        <v>64520200.000000015</v>
      </c>
      <c r="H103" s="105"/>
    </row>
    <row r="104" spans="1:8" ht="94.5">
      <c r="A104" s="54"/>
      <c r="B104" s="30" t="s">
        <v>983</v>
      </c>
      <c r="C104" s="48" t="s">
        <v>958</v>
      </c>
      <c r="D104" s="37" t="s">
        <v>20</v>
      </c>
      <c r="E104" s="84">
        <v>147.9</v>
      </c>
      <c r="F104" s="125">
        <v>5205600</v>
      </c>
      <c r="G104" s="125">
        <f t="shared" si="3"/>
        <v>769908240</v>
      </c>
      <c r="H104" s="105"/>
    </row>
    <row r="105" spans="1:8" ht="63">
      <c r="A105" s="54"/>
      <c r="B105" s="62"/>
      <c r="C105" s="48" t="s">
        <v>806</v>
      </c>
      <c r="D105" s="37" t="s">
        <v>20</v>
      </c>
      <c r="E105" s="84">
        <v>0.9</v>
      </c>
      <c r="F105" s="125">
        <v>33958000</v>
      </c>
      <c r="G105" s="125">
        <f t="shared" si="3"/>
        <v>30562200</v>
      </c>
      <c r="H105" s="105"/>
    </row>
    <row r="106" spans="1:8" ht="78.75">
      <c r="A106" s="54"/>
      <c r="B106" s="30"/>
      <c r="C106" s="29" t="s">
        <v>897</v>
      </c>
      <c r="D106" s="37" t="s">
        <v>20</v>
      </c>
      <c r="E106" s="60">
        <v>28.200000000000003</v>
      </c>
      <c r="F106" s="125">
        <v>6791600</v>
      </c>
      <c r="G106" s="125">
        <f t="shared" si="3"/>
        <v>191523120.00000003</v>
      </c>
      <c r="H106" s="105"/>
    </row>
    <row r="107" spans="1:8" ht="63">
      <c r="A107" s="54"/>
      <c r="B107" s="30"/>
      <c r="C107" s="29" t="s">
        <v>806</v>
      </c>
      <c r="D107" s="37" t="s">
        <v>20</v>
      </c>
      <c r="E107" s="84">
        <v>2.2</v>
      </c>
      <c r="F107" s="125">
        <v>33958000</v>
      </c>
      <c r="G107" s="125">
        <f t="shared" si="3"/>
        <v>74707600</v>
      </c>
      <c r="H107" s="105"/>
    </row>
    <row r="108" spans="1:8" ht="78.75">
      <c r="A108" s="54"/>
      <c r="B108" s="62" t="s">
        <v>366</v>
      </c>
      <c r="C108" s="29" t="s">
        <v>818</v>
      </c>
      <c r="D108" s="37" t="s">
        <v>20</v>
      </c>
      <c r="E108" s="77">
        <v>5.000000000000002</v>
      </c>
      <c r="F108" s="125">
        <v>10187500</v>
      </c>
      <c r="G108" s="125">
        <f t="shared" si="3"/>
        <v>50937500.000000015</v>
      </c>
      <c r="H108" s="105"/>
    </row>
    <row r="109" spans="1:8" ht="94.5">
      <c r="A109" s="54"/>
      <c r="B109" s="62" t="s">
        <v>367</v>
      </c>
      <c r="C109" s="29" t="s">
        <v>817</v>
      </c>
      <c r="D109" s="37" t="s">
        <v>20</v>
      </c>
      <c r="E109" s="84">
        <v>4.399999999999999</v>
      </c>
      <c r="F109" s="125">
        <v>10187500</v>
      </c>
      <c r="G109" s="125">
        <f t="shared" si="3"/>
        <v>44824999.999999985</v>
      </c>
      <c r="H109" s="105"/>
    </row>
    <row r="110" spans="1:8" ht="94.5">
      <c r="A110" s="54"/>
      <c r="B110" s="30"/>
      <c r="C110" s="29" t="s">
        <v>816</v>
      </c>
      <c r="D110" s="37" t="s">
        <v>20</v>
      </c>
      <c r="E110" s="84">
        <v>3.0999999999999996</v>
      </c>
      <c r="F110" s="125">
        <v>10187500</v>
      </c>
      <c r="G110" s="125">
        <f t="shared" si="3"/>
        <v>31581249.999999996</v>
      </c>
      <c r="H110" s="105"/>
    </row>
    <row r="111" spans="1:8" ht="94.5">
      <c r="A111" s="54"/>
      <c r="B111" s="62"/>
      <c r="C111" s="29" t="s">
        <v>817</v>
      </c>
      <c r="D111" s="37" t="s">
        <v>20</v>
      </c>
      <c r="E111" s="84">
        <v>5.6</v>
      </c>
      <c r="F111" s="125">
        <v>10187500</v>
      </c>
      <c r="G111" s="125">
        <f t="shared" si="3"/>
        <v>57050000</v>
      </c>
      <c r="H111" s="105"/>
    </row>
    <row r="112" spans="1:8" ht="47.25">
      <c r="A112" s="54"/>
      <c r="B112" s="30" t="s">
        <v>549</v>
      </c>
      <c r="C112" s="183" t="s">
        <v>953</v>
      </c>
      <c r="D112" s="37" t="s">
        <v>20</v>
      </c>
      <c r="E112" s="84">
        <v>81.3</v>
      </c>
      <c r="F112" s="125">
        <v>1841000</v>
      </c>
      <c r="G112" s="125">
        <f t="shared" si="3"/>
        <v>149673300</v>
      </c>
      <c r="H112" s="105"/>
    </row>
    <row r="113" spans="1:8" ht="31.5">
      <c r="A113" s="54"/>
      <c r="B113" s="55"/>
      <c r="C113" s="183" t="s">
        <v>953</v>
      </c>
      <c r="D113" s="37" t="s">
        <v>20</v>
      </c>
      <c r="E113" s="84">
        <v>79.9</v>
      </c>
      <c r="F113" s="125">
        <v>1841000</v>
      </c>
      <c r="G113" s="125">
        <f t="shared" si="3"/>
        <v>147095900</v>
      </c>
      <c r="H113" s="105"/>
    </row>
    <row r="114" spans="1:8" ht="47.25">
      <c r="A114" s="54"/>
      <c r="B114" s="30" t="s">
        <v>550</v>
      </c>
      <c r="C114" s="183" t="s">
        <v>953</v>
      </c>
      <c r="D114" s="37" t="s">
        <v>20</v>
      </c>
      <c r="E114" s="84">
        <v>80.4</v>
      </c>
      <c r="F114" s="125">
        <v>1841000</v>
      </c>
      <c r="G114" s="125">
        <f t="shared" si="3"/>
        <v>148016400</v>
      </c>
      <c r="H114" s="105"/>
    </row>
    <row r="115" spans="1:8" ht="31.5">
      <c r="A115" s="54"/>
      <c r="B115" s="30" t="s">
        <v>892</v>
      </c>
      <c r="C115" s="183" t="s">
        <v>953</v>
      </c>
      <c r="D115" s="37" t="s">
        <v>20</v>
      </c>
      <c r="E115" s="84">
        <v>80</v>
      </c>
      <c r="F115" s="125">
        <v>1841000</v>
      </c>
      <c r="G115" s="125">
        <f t="shared" si="3"/>
        <v>147280000</v>
      </c>
      <c r="H115" s="105"/>
    </row>
    <row r="116" spans="1:8" ht="78.75">
      <c r="A116" s="54"/>
      <c r="B116" s="30" t="s">
        <v>551</v>
      </c>
      <c r="C116" s="183" t="s">
        <v>823</v>
      </c>
      <c r="D116" s="37" t="s">
        <v>20</v>
      </c>
      <c r="E116" s="84">
        <v>92.9</v>
      </c>
      <c r="F116" s="125">
        <v>7087000</v>
      </c>
      <c r="G116" s="125">
        <f t="shared" si="3"/>
        <v>658382300</v>
      </c>
      <c r="H116" s="105"/>
    </row>
    <row r="117" spans="1:8" ht="31.5">
      <c r="A117" s="54"/>
      <c r="B117" s="30" t="s">
        <v>525</v>
      </c>
      <c r="C117" s="29" t="s">
        <v>953</v>
      </c>
      <c r="D117" s="37" t="s">
        <v>20</v>
      </c>
      <c r="E117" s="84">
        <v>79.7</v>
      </c>
      <c r="F117" s="125">
        <v>1841000</v>
      </c>
      <c r="G117" s="125">
        <f t="shared" si="3"/>
        <v>146727700</v>
      </c>
      <c r="H117" s="105"/>
    </row>
    <row r="118" spans="1:8" ht="47.25">
      <c r="A118" s="54"/>
      <c r="B118" s="30" t="s">
        <v>552</v>
      </c>
      <c r="C118" s="29" t="s">
        <v>953</v>
      </c>
      <c r="D118" s="37" t="s">
        <v>20</v>
      </c>
      <c r="E118" s="84">
        <v>79.9</v>
      </c>
      <c r="F118" s="125">
        <v>1841000</v>
      </c>
      <c r="G118" s="125">
        <f t="shared" si="3"/>
        <v>147095900</v>
      </c>
      <c r="H118" s="105"/>
    </row>
    <row r="119" spans="1:8" ht="31.5">
      <c r="A119" s="54"/>
      <c r="B119" s="30" t="s">
        <v>525</v>
      </c>
      <c r="C119" s="29" t="s">
        <v>953</v>
      </c>
      <c r="D119" s="37" t="s">
        <v>20</v>
      </c>
      <c r="E119" s="84">
        <v>79.7</v>
      </c>
      <c r="F119" s="125">
        <v>1841000</v>
      </c>
      <c r="G119" s="125">
        <f t="shared" si="3"/>
        <v>146727700</v>
      </c>
      <c r="H119" s="105"/>
    </row>
    <row r="120" spans="1:8" ht="47.25">
      <c r="A120" s="54"/>
      <c r="B120" s="30" t="s">
        <v>553</v>
      </c>
      <c r="C120" s="29" t="s">
        <v>953</v>
      </c>
      <c r="D120" s="37" t="s">
        <v>20</v>
      </c>
      <c r="E120" s="84">
        <v>79.8</v>
      </c>
      <c r="F120" s="125">
        <v>1841000</v>
      </c>
      <c r="G120" s="125">
        <f t="shared" si="3"/>
        <v>146911800</v>
      </c>
      <c r="H120" s="105"/>
    </row>
    <row r="121" spans="1:8" ht="47.25">
      <c r="A121" s="54"/>
      <c r="B121" s="30" t="s">
        <v>554</v>
      </c>
      <c r="C121" s="29" t="s">
        <v>953</v>
      </c>
      <c r="D121" s="37" t="s">
        <v>20</v>
      </c>
      <c r="E121" s="84">
        <v>79.9</v>
      </c>
      <c r="F121" s="125">
        <v>1841000</v>
      </c>
      <c r="G121" s="130">
        <f t="shared" si="3"/>
        <v>147095900</v>
      </c>
      <c r="H121" s="105"/>
    </row>
    <row r="122" spans="1:8" ht="63">
      <c r="A122" s="54"/>
      <c r="B122" s="30" t="s">
        <v>555</v>
      </c>
      <c r="C122" s="29" t="s">
        <v>803</v>
      </c>
      <c r="D122" s="37" t="s">
        <v>20</v>
      </c>
      <c r="E122" s="84">
        <v>66.6</v>
      </c>
      <c r="F122" s="125">
        <v>14174000</v>
      </c>
      <c r="G122" s="125">
        <f t="shared" si="3"/>
        <v>943988399.9999999</v>
      </c>
      <c r="H122" s="105"/>
    </row>
    <row r="123" spans="1:8" ht="47.25">
      <c r="A123" s="54"/>
      <c r="B123" s="30" t="s">
        <v>556</v>
      </c>
      <c r="C123" s="29" t="s">
        <v>820</v>
      </c>
      <c r="D123" s="37" t="s">
        <v>20</v>
      </c>
      <c r="E123" s="84">
        <v>198.1</v>
      </c>
      <c r="F123" s="125">
        <v>2041000</v>
      </c>
      <c r="G123" s="125">
        <f t="shared" si="3"/>
        <v>404322100</v>
      </c>
      <c r="H123" s="105"/>
    </row>
    <row r="124" spans="1:8" ht="31.5">
      <c r="A124" s="54"/>
      <c r="B124" s="62" t="s">
        <v>270</v>
      </c>
      <c r="C124" s="48" t="s">
        <v>957</v>
      </c>
      <c r="D124" s="37" t="s">
        <v>20</v>
      </c>
      <c r="E124" s="84">
        <v>279.70000000000005</v>
      </c>
      <c r="F124" s="125">
        <v>1841000</v>
      </c>
      <c r="G124" s="125">
        <f t="shared" si="3"/>
        <v>514927700.00000006</v>
      </c>
      <c r="H124" s="105"/>
    </row>
    <row r="125" spans="1:8" ht="78.75">
      <c r="A125" s="54"/>
      <c r="B125" s="55"/>
      <c r="C125" s="29" t="s">
        <v>956</v>
      </c>
      <c r="D125" s="37" t="s">
        <v>20</v>
      </c>
      <c r="E125" s="84">
        <v>1006.6</v>
      </c>
      <c r="F125" s="125">
        <v>24228000</v>
      </c>
      <c r="G125" s="125">
        <f t="shared" si="3"/>
        <v>24387904800</v>
      </c>
      <c r="H125" s="105"/>
    </row>
    <row r="126" spans="1:8" ht="31.5">
      <c r="A126" s="54"/>
      <c r="B126" s="30" t="s">
        <v>436</v>
      </c>
      <c r="C126" s="29" t="s">
        <v>953</v>
      </c>
      <c r="D126" s="37" t="s">
        <v>20</v>
      </c>
      <c r="E126" s="84">
        <v>79.8</v>
      </c>
      <c r="F126" s="125">
        <v>1841000</v>
      </c>
      <c r="G126" s="125">
        <f t="shared" si="3"/>
        <v>146911800</v>
      </c>
      <c r="H126" s="105"/>
    </row>
    <row r="127" spans="1:8" ht="94.5">
      <c r="A127" s="61"/>
      <c r="B127" s="30" t="s">
        <v>525</v>
      </c>
      <c r="C127" s="29" t="s">
        <v>799</v>
      </c>
      <c r="D127" s="37" t="s">
        <v>20</v>
      </c>
      <c r="E127" s="60">
        <v>330</v>
      </c>
      <c r="F127" s="130">
        <v>5102000</v>
      </c>
      <c r="G127" s="125">
        <f t="shared" si="3"/>
        <v>1683660000</v>
      </c>
      <c r="H127" s="106"/>
    </row>
    <row r="128" spans="1:8" ht="110.25">
      <c r="A128" s="61"/>
      <c r="B128" s="30"/>
      <c r="C128" s="48" t="s">
        <v>944</v>
      </c>
      <c r="D128" s="221"/>
      <c r="E128" s="50">
        <v>101.6</v>
      </c>
      <c r="F128" s="125">
        <v>2551000</v>
      </c>
      <c r="G128" s="125">
        <f t="shared" si="3"/>
        <v>259181600</v>
      </c>
      <c r="H128" s="106"/>
    </row>
    <row r="129" spans="1:8" ht="110.25">
      <c r="A129" s="61"/>
      <c r="B129" s="62"/>
      <c r="C129" s="48" t="s">
        <v>947</v>
      </c>
      <c r="D129" s="37" t="s">
        <v>20</v>
      </c>
      <c r="E129" s="50">
        <v>75.7</v>
      </c>
      <c r="F129" s="125">
        <v>2551000</v>
      </c>
      <c r="G129" s="125">
        <f t="shared" si="3"/>
        <v>193110700</v>
      </c>
      <c r="H129" s="106"/>
    </row>
    <row r="130" spans="1:8" ht="63">
      <c r="A130" s="54"/>
      <c r="B130" s="30" t="s">
        <v>558</v>
      </c>
      <c r="C130" s="29" t="s">
        <v>821</v>
      </c>
      <c r="D130" s="37" t="s">
        <v>20</v>
      </c>
      <c r="E130" s="84">
        <v>49.4</v>
      </c>
      <c r="F130" s="125">
        <v>31014000</v>
      </c>
      <c r="G130" s="125">
        <f aca="true" t="shared" si="4" ref="G130:G152">F130*E130</f>
        <v>1532091600</v>
      </c>
      <c r="H130" s="105"/>
    </row>
    <row r="131" spans="1:8" ht="78.75">
      <c r="A131" s="61"/>
      <c r="B131" s="30"/>
      <c r="C131" s="29" t="s">
        <v>896</v>
      </c>
      <c r="D131" s="37" t="s">
        <v>20</v>
      </c>
      <c r="E131" s="50">
        <v>52.50000000000001</v>
      </c>
      <c r="F131" s="125">
        <v>6791600</v>
      </c>
      <c r="G131" s="125">
        <f t="shared" si="4"/>
        <v>356559000.00000006</v>
      </c>
      <c r="H131" s="106"/>
    </row>
    <row r="132" spans="1:8" ht="78.75">
      <c r="A132" s="54"/>
      <c r="B132" s="62" t="s">
        <v>453</v>
      </c>
      <c r="C132" s="29" t="s">
        <v>991</v>
      </c>
      <c r="D132" s="37" t="s">
        <v>20</v>
      </c>
      <c r="E132" s="84">
        <v>55.8</v>
      </c>
      <c r="F132" s="125">
        <v>22164000</v>
      </c>
      <c r="G132" s="125">
        <f t="shared" si="4"/>
        <v>1236751200</v>
      </c>
      <c r="H132" s="105"/>
    </row>
    <row r="133" spans="1:8" ht="94.5">
      <c r="A133" s="54"/>
      <c r="B133" s="30" t="s">
        <v>992</v>
      </c>
      <c r="C133" s="29" t="s">
        <v>799</v>
      </c>
      <c r="D133" s="37" t="s">
        <v>20</v>
      </c>
      <c r="E133" s="84">
        <v>100</v>
      </c>
      <c r="F133" s="125">
        <v>5102000</v>
      </c>
      <c r="G133" s="125">
        <f t="shared" si="4"/>
        <v>510200000</v>
      </c>
      <c r="H133" s="105"/>
    </row>
    <row r="134" spans="1:8" ht="110.25">
      <c r="A134" s="54"/>
      <c r="B134" s="62" t="s">
        <v>455</v>
      </c>
      <c r="C134" s="48" t="s">
        <v>944</v>
      </c>
      <c r="D134" s="37" t="s">
        <v>20</v>
      </c>
      <c r="E134" s="84">
        <v>94.69999999999999</v>
      </c>
      <c r="F134" s="125">
        <v>2551000</v>
      </c>
      <c r="G134" s="125">
        <f t="shared" si="4"/>
        <v>241579699.99999997</v>
      </c>
      <c r="H134" s="105"/>
    </row>
    <row r="135" spans="1:8" ht="110.25">
      <c r="A135" s="54"/>
      <c r="B135" s="30" t="s">
        <v>993</v>
      </c>
      <c r="C135" s="29" t="s">
        <v>937</v>
      </c>
      <c r="D135" s="37" t="s">
        <v>20</v>
      </c>
      <c r="E135" s="84">
        <v>42.2</v>
      </c>
      <c r="F135" s="125">
        <v>4420000</v>
      </c>
      <c r="G135" s="125">
        <f t="shared" si="4"/>
        <v>186524000</v>
      </c>
      <c r="H135" s="105"/>
    </row>
    <row r="136" spans="1:8" ht="47.25">
      <c r="A136" s="61"/>
      <c r="B136" s="30" t="s">
        <v>560</v>
      </c>
      <c r="C136" s="29" t="s">
        <v>820</v>
      </c>
      <c r="D136" s="37" t="s">
        <v>20</v>
      </c>
      <c r="E136" s="84">
        <v>573</v>
      </c>
      <c r="F136" s="125">
        <v>2041000</v>
      </c>
      <c r="G136" s="125">
        <f t="shared" si="4"/>
        <v>1169493000</v>
      </c>
      <c r="H136" s="106"/>
    </row>
    <row r="137" spans="1:8" ht="31.5">
      <c r="A137" s="61"/>
      <c r="B137" s="62" t="s">
        <v>459</v>
      </c>
      <c r="C137" s="29" t="s">
        <v>953</v>
      </c>
      <c r="D137" s="37" t="s">
        <v>20</v>
      </c>
      <c r="E137" s="50">
        <v>581.5999999999999</v>
      </c>
      <c r="F137" s="125">
        <v>1841000</v>
      </c>
      <c r="G137" s="125">
        <f t="shared" si="4"/>
        <v>1070725599.9999999</v>
      </c>
      <c r="H137" s="106"/>
    </row>
    <row r="138" spans="1:8" ht="78.75">
      <c r="A138" s="61"/>
      <c r="B138" s="62" t="s">
        <v>461</v>
      </c>
      <c r="C138" s="29" t="s">
        <v>896</v>
      </c>
      <c r="D138" s="37" t="s">
        <v>20</v>
      </c>
      <c r="E138" s="60">
        <v>40.2</v>
      </c>
      <c r="F138" s="130">
        <v>6791600</v>
      </c>
      <c r="G138" s="125">
        <f t="shared" si="4"/>
        <v>273022320</v>
      </c>
      <c r="H138" s="106"/>
    </row>
    <row r="139" spans="1:8" ht="94.5">
      <c r="A139" s="61"/>
      <c r="B139" s="30" t="s">
        <v>562</v>
      </c>
      <c r="C139" s="29" t="s">
        <v>799</v>
      </c>
      <c r="D139" s="37" t="s">
        <v>20</v>
      </c>
      <c r="E139" s="50">
        <v>80</v>
      </c>
      <c r="F139" s="125">
        <v>5102000</v>
      </c>
      <c r="G139" s="125">
        <f t="shared" si="4"/>
        <v>408160000</v>
      </c>
      <c r="H139" s="144"/>
    </row>
    <row r="140" spans="1:8" ht="110.25">
      <c r="A140" s="61"/>
      <c r="B140" s="30" t="s">
        <v>465</v>
      </c>
      <c r="C140" s="48" t="s">
        <v>944</v>
      </c>
      <c r="D140" s="37" t="s">
        <v>20</v>
      </c>
      <c r="E140" s="50">
        <v>169.9</v>
      </c>
      <c r="F140" s="125">
        <v>2551000</v>
      </c>
      <c r="G140" s="125">
        <f t="shared" si="4"/>
        <v>433414900</v>
      </c>
      <c r="H140" s="144"/>
    </row>
    <row r="141" spans="1:8" ht="110.25">
      <c r="A141" s="61"/>
      <c r="B141" s="30" t="s">
        <v>892</v>
      </c>
      <c r="C141" s="29" t="s">
        <v>947</v>
      </c>
      <c r="D141" s="37" t="s">
        <v>20</v>
      </c>
      <c r="E141" s="50">
        <v>86</v>
      </c>
      <c r="F141" s="125">
        <v>2551000</v>
      </c>
      <c r="G141" s="130">
        <f t="shared" si="4"/>
        <v>219386000</v>
      </c>
      <c r="H141" s="144"/>
    </row>
    <row r="142" spans="1:8" ht="110.25">
      <c r="A142" s="61"/>
      <c r="B142" s="30" t="s">
        <v>18</v>
      </c>
      <c r="C142" s="29" t="s">
        <v>947</v>
      </c>
      <c r="D142" s="37" t="s">
        <v>20</v>
      </c>
      <c r="E142" s="50">
        <v>172.2</v>
      </c>
      <c r="F142" s="125">
        <v>2551000</v>
      </c>
      <c r="G142" s="130">
        <f t="shared" si="4"/>
        <v>439282200</v>
      </c>
      <c r="H142" s="144"/>
    </row>
    <row r="143" spans="1:8" ht="63">
      <c r="A143" s="61"/>
      <c r="B143" s="182" t="s">
        <v>563</v>
      </c>
      <c r="C143" s="29" t="s">
        <v>995</v>
      </c>
      <c r="D143" s="37" t="s">
        <v>20</v>
      </c>
      <c r="E143" s="50">
        <v>82</v>
      </c>
      <c r="F143" s="125">
        <v>31014000</v>
      </c>
      <c r="G143" s="125">
        <f t="shared" si="4"/>
        <v>2543148000</v>
      </c>
      <c r="H143" s="106"/>
    </row>
    <row r="144" spans="1:8" ht="94.5">
      <c r="A144" s="61"/>
      <c r="B144" s="30" t="s">
        <v>564</v>
      </c>
      <c r="C144" s="29" t="s">
        <v>799</v>
      </c>
      <c r="D144" s="37" t="s">
        <v>20</v>
      </c>
      <c r="E144" s="50">
        <v>100</v>
      </c>
      <c r="F144" s="125">
        <v>5102000</v>
      </c>
      <c r="G144" s="125">
        <f t="shared" si="4"/>
        <v>510200000</v>
      </c>
      <c r="H144" s="106"/>
    </row>
    <row r="145" spans="1:8" ht="110.25">
      <c r="A145" s="61"/>
      <c r="B145" s="30" t="s">
        <v>469</v>
      </c>
      <c r="C145" s="48" t="s">
        <v>944</v>
      </c>
      <c r="D145" s="37" t="s">
        <v>20</v>
      </c>
      <c r="E145" s="50">
        <v>94.7</v>
      </c>
      <c r="F145" s="125">
        <v>2551000</v>
      </c>
      <c r="G145" s="125">
        <f t="shared" si="4"/>
        <v>241579700</v>
      </c>
      <c r="H145" s="106"/>
    </row>
    <row r="146" spans="1:8" ht="63">
      <c r="A146" s="61"/>
      <c r="B146" s="30" t="s">
        <v>893</v>
      </c>
      <c r="C146" s="48" t="s">
        <v>803</v>
      </c>
      <c r="D146" s="37" t="s">
        <v>20</v>
      </c>
      <c r="E146" s="50">
        <v>581.9</v>
      </c>
      <c r="F146" s="125">
        <v>14174000</v>
      </c>
      <c r="G146" s="125">
        <f t="shared" si="4"/>
        <v>8247850600</v>
      </c>
      <c r="H146" s="106"/>
    </row>
    <row r="147" spans="1:8" ht="94.5">
      <c r="A147" s="61"/>
      <c r="B147" s="30" t="s">
        <v>996</v>
      </c>
      <c r="C147" s="48" t="s">
        <v>789</v>
      </c>
      <c r="D147" s="37" t="s">
        <v>20</v>
      </c>
      <c r="E147" s="60">
        <v>79.3</v>
      </c>
      <c r="F147" s="130">
        <v>5670000</v>
      </c>
      <c r="G147" s="130">
        <f t="shared" si="4"/>
        <v>449631000</v>
      </c>
      <c r="H147" s="106"/>
    </row>
    <row r="148" spans="1:8" ht="110.25">
      <c r="A148" s="61"/>
      <c r="B148" s="30" t="s">
        <v>599</v>
      </c>
      <c r="C148" s="48" t="s">
        <v>940</v>
      </c>
      <c r="D148" s="37" t="s">
        <v>20</v>
      </c>
      <c r="E148" s="60">
        <v>25.8</v>
      </c>
      <c r="F148" s="125">
        <v>4420000</v>
      </c>
      <c r="G148" s="130">
        <f t="shared" si="4"/>
        <v>114036000</v>
      </c>
      <c r="H148" s="106"/>
    </row>
    <row r="149" spans="1:8" ht="78.75">
      <c r="A149" s="61"/>
      <c r="B149" s="30" t="s">
        <v>602</v>
      </c>
      <c r="C149" s="48" t="s">
        <v>785</v>
      </c>
      <c r="D149" s="37" t="s">
        <v>20</v>
      </c>
      <c r="E149" s="50">
        <v>46.6</v>
      </c>
      <c r="F149" s="125">
        <v>5003000</v>
      </c>
      <c r="G149" s="130">
        <f t="shared" si="4"/>
        <v>233139800</v>
      </c>
      <c r="H149" s="106"/>
    </row>
    <row r="150" spans="1:8" ht="94.5">
      <c r="A150" s="61"/>
      <c r="B150" s="30"/>
      <c r="C150" s="48" t="s">
        <v>946</v>
      </c>
      <c r="D150" s="37" t="s">
        <v>20</v>
      </c>
      <c r="E150" s="50">
        <v>29.1</v>
      </c>
      <c r="F150" s="125">
        <v>3953000</v>
      </c>
      <c r="G150" s="130">
        <f t="shared" si="4"/>
        <v>115032300</v>
      </c>
      <c r="H150" s="106"/>
    </row>
    <row r="151" spans="1:8" ht="78.75">
      <c r="A151" s="61"/>
      <c r="B151" s="30" t="s">
        <v>738</v>
      </c>
      <c r="C151" s="48" t="s">
        <v>787</v>
      </c>
      <c r="D151" s="37" t="s">
        <v>20</v>
      </c>
      <c r="E151" s="50">
        <v>23</v>
      </c>
      <c r="F151" s="125">
        <v>5003000</v>
      </c>
      <c r="G151" s="130">
        <f t="shared" si="4"/>
        <v>115069000</v>
      </c>
      <c r="H151" s="106"/>
    </row>
    <row r="152" spans="1:8" ht="94.5">
      <c r="A152" s="61"/>
      <c r="B152" s="30"/>
      <c r="C152" s="48" t="s">
        <v>945</v>
      </c>
      <c r="D152" s="37" t="s">
        <v>20</v>
      </c>
      <c r="E152" s="50">
        <v>40.5</v>
      </c>
      <c r="F152" s="125">
        <v>3953000</v>
      </c>
      <c r="G152" s="130">
        <f t="shared" si="4"/>
        <v>160096500</v>
      </c>
      <c r="H152" s="106"/>
    </row>
    <row r="153" ht="16.5">
      <c r="G153" s="157">
        <f>SUM(G2:G152)</f>
        <v>178296120060</v>
      </c>
    </row>
  </sheetData>
  <sheetProtection/>
  <conditionalFormatting sqref="D24">
    <cfRule type="dataBar" priority="1" dxfId="0">
      <dataBar minLength="0" maxLength="100">
        <cfvo type="min"/>
        <cfvo type="max"/>
        <color rgb="FF638EC6"/>
      </dataBar>
      <extLst>
        <ext xmlns:x14="http://schemas.microsoft.com/office/spreadsheetml/2009/9/main" uri="{B025F937-C7B1-47D3-B67F-A62EFF666E3E}">
          <x14:id>{e2c33f36-24da-4500-93e8-32a760a875e2}</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e2c33f36-24da-4500-93e8-32a760a875e2}">
            <x14:dataBar minLength="0" maxLength="100" gradient="0">
              <x14:cfvo type="min"/>
              <x14:cfvo type="max"/>
              <x14:negativeFillColor rgb="FFFF0000"/>
              <x14:axisColor rgb="FF000000"/>
            </x14:dataBar>
            <x14:dxf/>
          </x14:cfRule>
          <xm:sqref>D24</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H240"/>
  <sheetViews>
    <sheetView zoomScalePageLayoutView="0" workbookViewId="0" topLeftCell="A220">
      <selection activeCell="I222" sqref="I222"/>
    </sheetView>
  </sheetViews>
  <sheetFormatPr defaultColWidth="8.796875" defaultRowHeight="15"/>
  <cols>
    <col min="1" max="1" width="32.5" style="0" customWidth="1"/>
    <col min="2" max="2" width="5.59765625" style="0" customWidth="1"/>
    <col min="3" max="3" width="26.59765625" style="0" customWidth="1"/>
    <col min="4" max="4" width="10.69921875" style="0" customWidth="1"/>
    <col min="5" max="5" width="14.5" style="0" customWidth="1"/>
    <col min="6" max="6" width="25.19921875" style="0" customWidth="1"/>
    <col min="7" max="7" width="13.5" style="0" bestFit="1" customWidth="1"/>
  </cols>
  <sheetData>
    <row r="1" spans="1:6" ht="94.5">
      <c r="A1" s="11" t="s">
        <v>783</v>
      </c>
      <c r="B1" s="8" t="s">
        <v>20</v>
      </c>
      <c r="C1" s="10">
        <v>13.1</v>
      </c>
      <c r="D1" s="172">
        <v>3953000</v>
      </c>
      <c r="E1" s="25">
        <f aca="true" t="shared" si="0" ref="E1:E32">D1*C1</f>
        <v>51784300</v>
      </c>
      <c r="F1" s="90"/>
    </row>
    <row r="2" spans="1:6" ht="94.5">
      <c r="A2" s="11" t="s">
        <v>782</v>
      </c>
      <c r="B2" s="8" t="s">
        <v>20</v>
      </c>
      <c r="C2" s="10">
        <v>12.3</v>
      </c>
      <c r="D2" s="172">
        <v>3953000</v>
      </c>
      <c r="E2" s="25">
        <f t="shared" si="0"/>
        <v>48621900</v>
      </c>
      <c r="F2" s="90"/>
    </row>
    <row r="3" spans="1:6" ht="47.25">
      <c r="A3" s="12" t="s">
        <v>899</v>
      </c>
      <c r="B3" s="8" t="s">
        <v>20</v>
      </c>
      <c r="C3" s="10">
        <v>31</v>
      </c>
      <c r="D3" s="128">
        <v>12507500</v>
      </c>
      <c r="E3" s="24">
        <f t="shared" si="0"/>
        <v>387732500</v>
      </c>
      <c r="F3" s="92" t="s">
        <v>898</v>
      </c>
    </row>
    <row r="4" spans="1:6" ht="94.5">
      <c r="A4" s="12" t="s">
        <v>783</v>
      </c>
      <c r="B4" s="8" t="s">
        <v>20</v>
      </c>
      <c r="C4" s="9">
        <v>1.5</v>
      </c>
      <c r="D4" s="172">
        <v>3953000</v>
      </c>
      <c r="E4" s="24">
        <f t="shared" si="0"/>
        <v>5929500</v>
      </c>
      <c r="F4" s="93"/>
    </row>
    <row r="5" spans="1:6" ht="94.5">
      <c r="A5" s="12" t="s">
        <v>784</v>
      </c>
      <c r="B5" s="2" t="s">
        <v>20</v>
      </c>
      <c r="C5" s="7">
        <v>109.7</v>
      </c>
      <c r="D5" s="25">
        <v>5003000</v>
      </c>
      <c r="E5" s="25">
        <f t="shared" si="0"/>
        <v>548829100</v>
      </c>
      <c r="F5" s="96"/>
    </row>
    <row r="6" spans="1:6" ht="110.25">
      <c r="A6" s="12" t="s">
        <v>888</v>
      </c>
      <c r="B6" s="2" t="s">
        <v>20</v>
      </c>
      <c r="C6" s="7">
        <v>156.8</v>
      </c>
      <c r="D6" s="172">
        <v>4420000</v>
      </c>
      <c r="E6" s="25">
        <f t="shared" si="0"/>
        <v>693056000</v>
      </c>
      <c r="F6" s="90"/>
    </row>
    <row r="7" spans="1:6" ht="94.5">
      <c r="A7" s="12" t="s">
        <v>783</v>
      </c>
      <c r="B7" s="2" t="s">
        <v>20</v>
      </c>
      <c r="C7" s="7">
        <v>67.1</v>
      </c>
      <c r="D7" s="172">
        <v>3953000</v>
      </c>
      <c r="E7" s="25">
        <f t="shared" si="0"/>
        <v>265246299.99999997</v>
      </c>
      <c r="F7" s="90"/>
    </row>
    <row r="8" spans="1:6" ht="94.5">
      <c r="A8" s="12" t="s">
        <v>785</v>
      </c>
      <c r="B8" s="2" t="s">
        <v>20</v>
      </c>
      <c r="C8" s="9">
        <v>44</v>
      </c>
      <c r="D8" s="25">
        <v>5003000</v>
      </c>
      <c r="E8" s="25">
        <f t="shared" si="0"/>
        <v>220132000</v>
      </c>
      <c r="F8" s="93"/>
    </row>
    <row r="9" spans="1:6" ht="94.5">
      <c r="A9" s="13" t="s">
        <v>783</v>
      </c>
      <c r="B9" s="2" t="s">
        <v>20</v>
      </c>
      <c r="C9" s="9">
        <v>2.6</v>
      </c>
      <c r="D9" s="172">
        <v>3953000</v>
      </c>
      <c r="E9" s="25">
        <f t="shared" si="0"/>
        <v>10277800</v>
      </c>
      <c r="F9" s="93"/>
    </row>
    <row r="10" spans="1:6" ht="94.5">
      <c r="A10" s="13" t="s">
        <v>783</v>
      </c>
      <c r="B10" s="2" t="s">
        <v>20</v>
      </c>
      <c r="C10" s="7">
        <v>3.1</v>
      </c>
      <c r="D10" s="172">
        <v>3953000</v>
      </c>
      <c r="E10" s="25">
        <f t="shared" si="0"/>
        <v>12254300</v>
      </c>
      <c r="F10" s="90"/>
    </row>
    <row r="11" spans="1:6" ht="94.5">
      <c r="A11" s="13" t="s">
        <v>783</v>
      </c>
      <c r="B11" s="2" t="s">
        <v>20</v>
      </c>
      <c r="C11" s="7">
        <v>3.5</v>
      </c>
      <c r="D11" s="172">
        <v>3953000</v>
      </c>
      <c r="E11" s="25">
        <f t="shared" si="0"/>
        <v>13835500</v>
      </c>
      <c r="F11" s="90"/>
    </row>
    <row r="12" spans="1:6" ht="126">
      <c r="A12" s="12" t="s">
        <v>786</v>
      </c>
      <c r="B12" s="2" t="s">
        <v>20</v>
      </c>
      <c r="C12" s="22">
        <v>351</v>
      </c>
      <c r="D12" s="25">
        <v>5102000</v>
      </c>
      <c r="E12" s="25">
        <f t="shared" si="0"/>
        <v>1790802000</v>
      </c>
      <c r="F12" s="94"/>
    </row>
    <row r="13" spans="1:6" ht="126">
      <c r="A13" s="13" t="s">
        <v>921</v>
      </c>
      <c r="B13" s="2" t="s">
        <v>20</v>
      </c>
      <c r="C13" s="171">
        <v>335.2</v>
      </c>
      <c r="D13" s="172">
        <v>2551000</v>
      </c>
      <c r="E13" s="25">
        <f t="shared" si="0"/>
        <v>855095200</v>
      </c>
      <c r="F13" s="93"/>
    </row>
    <row r="14" spans="1:6" ht="126">
      <c r="A14" s="12" t="s">
        <v>786</v>
      </c>
      <c r="B14" s="2" t="s">
        <v>20</v>
      </c>
      <c r="C14" s="9">
        <v>284.7</v>
      </c>
      <c r="D14" s="25">
        <v>5102000</v>
      </c>
      <c r="E14" s="25">
        <f t="shared" si="0"/>
        <v>1452539400</v>
      </c>
      <c r="F14" s="93"/>
    </row>
    <row r="15" spans="1:6" ht="126">
      <c r="A15" s="12" t="s">
        <v>922</v>
      </c>
      <c r="B15" s="4" t="s">
        <v>20</v>
      </c>
      <c r="C15" s="10">
        <v>640.9</v>
      </c>
      <c r="D15" s="172">
        <v>2551000</v>
      </c>
      <c r="E15" s="25">
        <f t="shared" si="0"/>
        <v>1634935900</v>
      </c>
      <c r="F15" s="93"/>
    </row>
    <row r="16" spans="1:6" ht="126">
      <c r="A16" s="12" t="s">
        <v>786</v>
      </c>
      <c r="B16" s="2" t="s">
        <v>20</v>
      </c>
      <c r="C16" s="9">
        <v>305</v>
      </c>
      <c r="D16" s="25">
        <v>5102000</v>
      </c>
      <c r="E16" s="25">
        <f t="shared" si="0"/>
        <v>1556110000</v>
      </c>
      <c r="F16" s="93"/>
    </row>
    <row r="17" spans="1:6" ht="126">
      <c r="A17" s="13" t="s">
        <v>922</v>
      </c>
      <c r="B17" s="2" t="s">
        <v>20</v>
      </c>
      <c r="C17" s="9">
        <v>141.8</v>
      </c>
      <c r="D17" s="172">
        <v>2551000</v>
      </c>
      <c r="E17" s="25">
        <f t="shared" si="0"/>
        <v>361731800</v>
      </c>
      <c r="F17" s="93"/>
    </row>
    <row r="18" spans="1:6" ht="110.25">
      <c r="A18" s="12" t="s">
        <v>778</v>
      </c>
      <c r="B18" s="2" t="s">
        <v>20</v>
      </c>
      <c r="C18" s="7">
        <v>83.6</v>
      </c>
      <c r="D18" s="25">
        <v>5670000</v>
      </c>
      <c r="E18" s="25">
        <f t="shared" si="0"/>
        <v>474011999.99999994</v>
      </c>
      <c r="F18" s="90"/>
    </row>
    <row r="19" spans="1:6" ht="94.5">
      <c r="A19" s="13" t="s">
        <v>787</v>
      </c>
      <c r="B19" s="2" t="s">
        <v>20</v>
      </c>
      <c r="C19" s="7">
        <v>98.8</v>
      </c>
      <c r="D19" s="25">
        <v>5003000</v>
      </c>
      <c r="E19" s="25">
        <f t="shared" si="0"/>
        <v>494296400</v>
      </c>
      <c r="F19" s="90"/>
    </row>
    <row r="20" spans="1:6" ht="110.25">
      <c r="A20" s="78" t="s">
        <v>781</v>
      </c>
      <c r="B20" s="79" t="s">
        <v>20</v>
      </c>
      <c r="C20" s="80">
        <v>59.9</v>
      </c>
      <c r="D20" s="172">
        <v>4420000</v>
      </c>
      <c r="E20" s="127">
        <f t="shared" si="0"/>
        <v>264758000</v>
      </c>
      <c r="F20" s="99"/>
    </row>
    <row r="21" spans="1:6" ht="94.5">
      <c r="A21" s="12" t="s">
        <v>780</v>
      </c>
      <c r="B21" s="4" t="s">
        <v>20</v>
      </c>
      <c r="C21" s="9">
        <v>200</v>
      </c>
      <c r="D21" s="25">
        <v>5670000</v>
      </c>
      <c r="E21" s="25">
        <f t="shared" si="0"/>
        <v>1134000000</v>
      </c>
      <c r="F21" s="95"/>
    </row>
    <row r="22" spans="1:6" ht="94.5">
      <c r="A22" s="48" t="s">
        <v>779</v>
      </c>
      <c r="B22" s="4" t="s">
        <v>20</v>
      </c>
      <c r="C22" s="10">
        <v>980.5999999999999</v>
      </c>
      <c r="D22" s="172">
        <v>4420000</v>
      </c>
      <c r="E22" s="24">
        <f t="shared" si="0"/>
        <v>4334252000</v>
      </c>
      <c r="F22" s="95"/>
    </row>
    <row r="23" spans="1:6" ht="78.75">
      <c r="A23" s="12" t="s">
        <v>777</v>
      </c>
      <c r="B23" s="4" t="s">
        <v>20</v>
      </c>
      <c r="C23" s="10">
        <v>85.7</v>
      </c>
      <c r="D23" s="24">
        <v>5003000</v>
      </c>
      <c r="E23" s="24">
        <f t="shared" si="0"/>
        <v>428757100</v>
      </c>
      <c r="F23" s="95"/>
    </row>
    <row r="24" spans="1:6" ht="94.5">
      <c r="A24" s="13" t="s">
        <v>785</v>
      </c>
      <c r="B24" s="4" t="s">
        <v>20</v>
      </c>
      <c r="C24" s="7">
        <v>122.8</v>
      </c>
      <c r="D24" s="25">
        <v>5003000</v>
      </c>
      <c r="E24" s="25">
        <f t="shared" si="0"/>
        <v>614368400</v>
      </c>
      <c r="F24" s="100"/>
    </row>
    <row r="25" spans="1:6" ht="94.5">
      <c r="A25" s="13" t="s">
        <v>789</v>
      </c>
      <c r="B25" s="4" t="s">
        <v>20</v>
      </c>
      <c r="C25" s="7">
        <v>70.4</v>
      </c>
      <c r="D25" s="25">
        <v>5670000</v>
      </c>
      <c r="E25" s="25">
        <f t="shared" si="0"/>
        <v>399168000.00000006</v>
      </c>
      <c r="F25" s="90"/>
    </row>
    <row r="26" spans="1:6" ht="94.5">
      <c r="A26" s="13" t="s">
        <v>789</v>
      </c>
      <c r="B26" s="4" t="s">
        <v>20</v>
      </c>
      <c r="C26" s="7">
        <v>200</v>
      </c>
      <c r="D26" s="25">
        <v>5670000</v>
      </c>
      <c r="E26" s="25">
        <f t="shared" si="0"/>
        <v>1134000000</v>
      </c>
      <c r="F26" s="90"/>
    </row>
    <row r="27" spans="1:6" ht="110.25">
      <c r="A27" s="13" t="s">
        <v>781</v>
      </c>
      <c r="B27" s="4" t="s">
        <v>20</v>
      </c>
      <c r="C27" s="7">
        <v>11.2</v>
      </c>
      <c r="D27" s="172">
        <v>4420000</v>
      </c>
      <c r="E27" s="25">
        <f t="shared" si="0"/>
        <v>49504000</v>
      </c>
      <c r="F27" s="90"/>
    </row>
    <row r="28" spans="1:6" ht="110.25">
      <c r="A28" s="13" t="s">
        <v>781</v>
      </c>
      <c r="B28" s="37" t="s">
        <v>20</v>
      </c>
      <c r="C28" s="7">
        <v>14.9</v>
      </c>
      <c r="D28" s="172">
        <v>4420000</v>
      </c>
      <c r="E28" s="25">
        <f t="shared" si="0"/>
        <v>65858000</v>
      </c>
      <c r="F28" s="90"/>
    </row>
    <row r="29" spans="1:6" ht="94.5">
      <c r="A29" s="28" t="s">
        <v>791</v>
      </c>
      <c r="B29" s="158" t="s">
        <v>20</v>
      </c>
      <c r="C29" s="161">
        <v>55.7</v>
      </c>
      <c r="D29" s="163">
        <v>5102000</v>
      </c>
      <c r="E29" s="126">
        <f t="shared" si="0"/>
        <v>284181400</v>
      </c>
      <c r="F29" s="162"/>
    </row>
    <row r="30" spans="1:6" ht="94.5">
      <c r="A30" s="13" t="s">
        <v>790</v>
      </c>
      <c r="B30" s="4" t="s">
        <v>20</v>
      </c>
      <c r="C30" s="7">
        <v>2.5</v>
      </c>
      <c r="D30" s="25">
        <v>5670000</v>
      </c>
      <c r="E30" s="25">
        <f t="shared" si="0"/>
        <v>14175000</v>
      </c>
      <c r="F30" s="90"/>
    </row>
    <row r="31" spans="1:6" ht="94.5">
      <c r="A31" s="13" t="s">
        <v>791</v>
      </c>
      <c r="B31" s="4" t="s">
        <v>20</v>
      </c>
      <c r="C31" s="7">
        <v>150</v>
      </c>
      <c r="D31" s="25">
        <v>5102000</v>
      </c>
      <c r="E31" s="25">
        <f t="shared" si="0"/>
        <v>765300000</v>
      </c>
      <c r="F31" s="90"/>
    </row>
    <row r="32" spans="1:6" ht="110.25">
      <c r="A32" s="13" t="s">
        <v>923</v>
      </c>
      <c r="B32" s="4"/>
      <c r="C32" s="7">
        <v>51.5</v>
      </c>
      <c r="D32" s="172">
        <v>2551000</v>
      </c>
      <c r="E32" s="25">
        <f t="shared" si="0"/>
        <v>131376500</v>
      </c>
      <c r="F32" s="90"/>
    </row>
    <row r="33" spans="1:6" ht="94.5">
      <c r="A33" s="13" t="s">
        <v>789</v>
      </c>
      <c r="B33" s="4" t="s">
        <v>20</v>
      </c>
      <c r="C33" s="9">
        <v>47.9</v>
      </c>
      <c r="D33" s="25">
        <v>5670000</v>
      </c>
      <c r="E33" s="25">
        <f aca="true" t="shared" si="1" ref="E33:E64">D33*C33</f>
        <v>271593000</v>
      </c>
      <c r="F33" s="93"/>
    </row>
    <row r="34" spans="1:6" ht="110.25">
      <c r="A34" s="13" t="s">
        <v>792</v>
      </c>
      <c r="B34" s="4" t="s">
        <v>20</v>
      </c>
      <c r="C34" s="9">
        <v>12.8</v>
      </c>
      <c r="D34" s="172">
        <v>4420000</v>
      </c>
      <c r="E34" s="25">
        <f t="shared" si="1"/>
        <v>56576000</v>
      </c>
      <c r="F34" s="93"/>
    </row>
    <row r="35" spans="1:6" ht="94.5">
      <c r="A35" s="13" t="s">
        <v>790</v>
      </c>
      <c r="B35" s="4" t="s">
        <v>20</v>
      </c>
      <c r="C35" s="7">
        <v>47.8</v>
      </c>
      <c r="D35" s="25">
        <v>5670000</v>
      </c>
      <c r="E35" s="25">
        <f t="shared" si="1"/>
        <v>271026000</v>
      </c>
      <c r="F35" s="90"/>
    </row>
    <row r="36" spans="1:6" ht="110.25">
      <c r="A36" s="13" t="s">
        <v>793</v>
      </c>
      <c r="B36" s="4" t="s">
        <v>20</v>
      </c>
      <c r="C36" s="7">
        <v>11.3</v>
      </c>
      <c r="D36" s="172">
        <v>4420000</v>
      </c>
      <c r="E36" s="25">
        <f t="shared" si="1"/>
        <v>49946000</v>
      </c>
      <c r="F36" s="90"/>
    </row>
    <row r="37" spans="1:6" ht="110.25">
      <c r="A37" s="13" t="s">
        <v>923</v>
      </c>
      <c r="B37" s="4" t="s">
        <v>20</v>
      </c>
      <c r="C37" s="7">
        <v>199.9</v>
      </c>
      <c r="D37" s="172">
        <v>2551000</v>
      </c>
      <c r="E37" s="25">
        <f t="shared" si="1"/>
        <v>509944900</v>
      </c>
      <c r="F37" s="90"/>
    </row>
    <row r="38" spans="1:6" ht="94.5">
      <c r="A38" s="13" t="s">
        <v>791</v>
      </c>
      <c r="B38" s="4" t="s">
        <v>20</v>
      </c>
      <c r="C38" s="7">
        <v>200</v>
      </c>
      <c r="D38" s="25">
        <v>5102000</v>
      </c>
      <c r="E38" s="25">
        <f t="shared" si="1"/>
        <v>1020400000</v>
      </c>
      <c r="F38" s="90"/>
    </row>
    <row r="39" spans="1:6" ht="110.25">
      <c r="A39" s="12" t="s">
        <v>923</v>
      </c>
      <c r="B39" s="4" t="s">
        <v>20</v>
      </c>
      <c r="C39" s="7">
        <v>280.4</v>
      </c>
      <c r="D39" s="172">
        <v>2551000</v>
      </c>
      <c r="E39" s="25">
        <f t="shared" si="1"/>
        <v>715300400</v>
      </c>
      <c r="F39" s="90"/>
    </row>
    <row r="40" spans="1:6" ht="110.25">
      <c r="A40" s="33" t="s">
        <v>923</v>
      </c>
      <c r="B40" s="4" t="s">
        <v>20</v>
      </c>
      <c r="C40" s="7">
        <v>230.4</v>
      </c>
      <c r="D40" s="172">
        <v>2551000</v>
      </c>
      <c r="E40" s="25">
        <f t="shared" si="1"/>
        <v>587750400</v>
      </c>
      <c r="F40" s="90"/>
    </row>
    <row r="41" spans="1:6" ht="94.5">
      <c r="A41" s="83" t="s">
        <v>794</v>
      </c>
      <c r="B41" s="4" t="s">
        <v>20</v>
      </c>
      <c r="C41" s="7">
        <v>800</v>
      </c>
      <c r="D41" s="25">
        <v>5102000</v>
      </c>
      <c r="E41" s="25">
        <f t="shared" si="1"/>
        <v>4081600000</v>
      </c>
      <c r="F41" s="90"/>
    </row>
    <row r="42" spans="1:6" ht="110.25">
      <c r="A42" s="82" t="s">
        <v>924</v>
      </c>
      <c r="B42" s="4" t="s">
        <v>20</v>
      </c>
      <c r="C42" s="7">
        <v>1026</v>
      </c>
      <c r="D42" s="172">
        <v>2551000</v>
      </c>
      <c r="E42" s="25">
        <f t="shared" si="1"/>
        <v>2617326000</v>
      </c>
      <c r="F42" s="90"/>
    </row>
    <row r="43" spans="1:6" ht="78.75">
      <c r="A43" s="13" t="s">
        <v>795</v>
      </c>
      <c r="B43" s="4" t="s">
        <v>20</v>
      </c>
      <c r="C43" s="7">
        <v>305.4</v>
      </c>
      <c r="D43" s="25">
        <v>14174000</v>
      </c>
      <c r="E43" s="25">
        <f t="shared" si="1"/>
        <v>4328739600</v>
      </c>
      <c r="F43" s="90"/>
    </row>
    <row r="44" spans="1:6" ht="110.25">
      <c r="A44" s="33" t="s">
        <v>923</v>
      </c>
      <c r="B44" s="4" t="s">
        <v>20</v>
      </c>
      <c r="C44" s="7">
        <v>250.3</v>
      </c>
      <c r="D44" s="172">
        <v>2551000</v>
      </c>
      <c r="E44" s="25">
        <f t="shared" si="1"/>
        <v>638515300</v>
      </c>
      <c r="F44" s="90"/>
    </row>
    <row r="45" spans="1:6" ht="110.25">
      <c r="A45" s="12" t="s">
        <v>792</v>
      </c>
      <c r="B45" s="4" t="s">
        <v>20</v>
      </c>
      <c r="C45" s="21">
        <v>111.3</v>
      </c>
      <c r="D45" s="172">
        <v>4420000</v>
      </c>
      <c r="E45" s="25">
        <f t="shared" si="1"/>
        <v>491946000</v>
      </c>
      <c r="F45" s="90"/>
    </row>
    <row r="46" spans="1:6" ht="110.25">
      <c r="A46" s="12" t="s">
        <v>792</v>
      </c>
      <c r="B46" s="4" t="s">
        <v>20</v>
      </c>
      <c r="C46" s="7">
        <v>55.8</v>
      </c>
      <c r="D46" s="172">
        <v>4420000</v>
      </c>
      <c r="E46" s="25">
        <f t="shared" si="1"/>
        <v>246636000</v>
      </c>
      <c r="F46" s="90"/>
    </row>
    <row r="47" spans="1:6" ht="94.5">
      <c r="A47" s="13" t="s">
        <v>785</v>
      </c>
      <c r="B47" s="4" t="s">
        <v>20</v>
      </c>
      <c r="C47" s="7">
        <v>194</v>
      </c>
      <c r="D47" s="25">
        <v>5003000</v>
      </c>
      <c r="E47" s="25">
        <f t="shared" si="1"/>
        <v>970582000</v>
      </c>
      <c r="F47" s="90"/>
    </row>
    <row r="48" spans="1:6" ht="94.5">
      <c r="A48" s="13" t="s">
        <v>814</v>
      </c>
      <c r="B48" s="4" t="s">
        <v>20</v>
      </c>
      <c r="C48" s="7">
        <v>40</v>
      </c>
      <c r="D48" s="25">
        <v>8504500</v>
      </c>
      <c r="E48" s="25">
        <f t="shared" si="1"/>
        <v>340180000</v>
      </c>
      <c r="F48" s="90"/>
    </row>
    <row r="49" spans="1:6" ht="110.25">
      <c r="A49" s="13" t="s">
        <v>918</v>
      </c>
      <c r="B49" s="4" t="s">
        <v>20</v>
      </c>
      <c r="C49" s="7">
        <v>10.2</v>
      </c>
      <c r="D49" s="172">
        <v>6704500</v>
      </c>
      <c r="E49" s="25">
        <f t="shared" si="1"/>
        <v>68385900</v>
      </c>
      <c r="F49" s="90"/>
    </row>
    <row r="50" spans="1:6" ht="110.25">
      <c r="A50" s="13" t="s">
        <v>811</v>
      </c>
      <c r="B50" s="4" t="s">
        <v>20</v>
      </c>
      <c r="C50" s="7">
        <v>71.7</v>
      </c>
      <c r="D50" s="172">
        <v>6704500</v>
      </c>
      <c r="E50" s="25">
        <f t="shared" si="1"/>
        <v>480712650</v>
      </c>
      <c r="F50" s="90"/>
    </row>
    <row r="51" spans="1:6" ht="94.5">
      <c r="A51" s="13" t="s">
        <v>814</v>
      </c>
      <c r="B51" s="4" t="s">
        <v>20</v>
      </c>
      <c r="C51" s="9">
        <v>20</v>
      </c>
      <c r="D51" s="25">
        <v>8504500</v>
      </c>
      <c r="E51" s="25">
        <f t="shared" si="1"/>
        <v>170090000</v>
      </c>
      <c r="F51" s="90"/>
    </row>
    <row r="52" spans="1:6" ht="110.25">
      <c r="A52" s="13" t="s">
        <v>812</v>
      </c>
      <c r="B52" s="4" t="s">
        <v>20</v>
      </c>
      <c r="C52" s="9">
        <v>38.2</v>
      </c>
      <c r="D52" s="172">
        <v>6704500</v>
      </c>
      <c r="E52" s="25">
        <f t="shared" si="1"/>
        <v>256111900.00000003</v>
      </c>
      <c r="F52" s="90"/>
    </row>
    <row r="53" spans="1:6" ht="94.5">
      <c r="A53" s="13" t="s">
        <v>814</v>
      </c>
      <c r="B53" s="4" t="s">
        <v>20</v>
      </c>
      <c r="C53" s="7">
        <v>95.3</v>
      </c>
      <c r="D53" s="25">
        <v>8504500</v>
      </c>
      <c r="E53" s="25">
        <f t="shared" si="1"/>
        <v>810478850</v>
      </c>
      <c r="F53" s="90"/>
    </row>
    <row r="54" spans="1:6" ht="94.5">
      <c r="A54" s="13" t="s">
        <v>814</v>
      </c>
      <c r="B54" s="4" t="s">
        <v>20</v>
      </c>
      <c r="C54" s="7">
        <v>18</v>
      </c>
      <c r="D54" s="25">
        <v>8504500</v>
      </c>
      <c r="E54" s="25">
        <f t="shared" si="1"/>
        <v>153081000</v>
      </c>
      <c r="F54" s="90"/>
    </row>
    <row r="55" spans="1:6" ht="110.25">
      <c r="A55" s="13" t="s">
        <v>812</v>
      </c>
      <c r="B55" s="4" t="s">
        <v>20</v>
      </c>
      <c r="C55" s="7">
        <v>24.3</v>
      </c>
      <c r="D55" s="172">
        <v>6704500</v>
      </c>
      <c r="E55" s="25">
        <f t="shared" si="1"/>
        <v>162919350</v>
      </c>
      <c r="F55" s="90"/>
    </row>
    <row r="56" spans="1:6" ht="94.5">
      <c r="A56" s="13" t="s">
        <v>814</v>
      </c>
      <c r="B56" s="4" t="s">
        <v>20</v>
      </c>
      <c r="C56" s="7">
        <v>20</v>
      </c>
      <c r="D56" s="25">
        <v>8504500</v>
      </c>
      <c r="E56" s="25">
        <f t="shared" si="1"/>
        <v>170090000</v>
      </c>
      <c r="F56" s="90"/>
    </row>
    <row r="57" spans="1:6" ht="110.25">
      <c r="A57" s="13" t="s">
        <v>812</v>
      </c>
      <c r="B57" s="4" t="s">
        <v>20</v>
      </c>
      <c r="C57" s="7">
        <v>43.1</v>
      </c>
      <c r="D57" s="172">
        <v>6704500</v>
      </c>
      <c r="E57" s="25">
        <f t="shared" si="1"/>
        <v>288963950</v>
      </c>
      <c r="F57" s="90"/>
    </row>
    <row r="58" spans="1:6" ht="94.5">
      <c r="A58" s="13" t="s">
        <v>814</v>
      </c>
      <c r="B58" s="2" t="s">
        <v>20</v>
      </c>
      <c r="C58" s="7">
        <v>18</v>
      </c>
      <c r="D58" s="25">
        <v>8504500</v>
      </c>
      <c r="E58" s="25">
        <f t="shared" si="1"/>
        <v>153081000</v>
      </c>
      <c r="F58" s="90"/>
    </row>
    <row r="59" spans="1:6" ht="110.25">
      <c r="A59" s="13" t="s">
        <v>919</v>
      </c>
      <c r="B59" s="2" t="s">
        <v>20</v>
      </c>
      <c r="C59" s="7">
        <v>34.5</v>
      </c>
      <c r="D59" s="172">
        <v>6704500</v>
      </c>
      <c r="E59" s="25">
        <f t="shared" si="1"/>
        <v>231305250</v>
      </c>
      <c r="F59" s="90"/>
    </row>
    <row r="60" spans="1:6" ht="94.5">
      <c r="A60" s="13" t="s">
        <v>814</v>
      </c>
      <c r="B60" s="4" t="s">
        <v>20</v>
      </c>
      <c r="C60" s="7">
        <v>29</v>
      </c>
      <c r="D60" s="25">
        <v>8504500</v>
      </c>
      <c r="E60" s="25">
        <f t="shared" si="1"/>
        <v>246630500</v>
      </c>
      <c r="F60" s="90"/>
    </row>
    <row r="61" spans="1:6" ht="110.25">
      <c r="A61" s="13" t="s">
        <v>812</v>
      </c>
      <c r="B61" s="4" t="s">
        <v>20</v>
      </c>
      <c r="C61" s="7">
        <v>71.9</v>
      </c>
      <c r="D61" s="172">
        <v>6704500</v>
      </c>
      <c r="E61" s="25">
        <f t="shared" si="1"/>
        <v>482053550.00000006</v>
      </c>
      <c r="F61" s="90"/>
    </row>
    <row r="62" spans="1:6" ht="126">
      <c r="A62" s="12" t="s">
        <v>809</v>
      </c>
      <c r="B62" s="2" t="s">
        <v>20</v>
      </c>
      <c r="C62" s="7">
        <v>348.3</v>
      </c>
      <c r="D62" s="172">
        <v>6704500</v>
      </c>
      <c r="E62" s="25">
        <f t="shared" si="1"/>
        <v>2335177350</v>
      </c>
      <c r="F62" s="90"/>
    </row>
    <row r="63" spans="1:6" ht="94.5">
      <c r="A63" s="28" t="s">
        <v>894</v>
      </c>
      <c r="B63" s="158" t="s">
        <v>20</v>
      </c>
      <c r="C63" s="166">
        <v>15</v>
      </c>
      <c r="D63" s="163">
        <v>8504500</v>
      </c>
      <c r="E63" s="126">
        <f t="shared" si="1"/>
        <v>127567500</v>
      </c>
      <c r="F63" s="162"/>
    </row>
    <row r="64" spans="1:6" ht="126">
      <c r="A64" s="27" t="s">
        <v>809</v>
      </c>
      <c r="B64" s="158" t="s">
        <v>20</v>
      </c>
      <c r="C64" s="166">
        <v>9.3</v>
      </c>
      <c r="D64" s="172">
        <v>6704500</v>
      </c>
      <c r="E64" s="126">
        <f t="shared" si="1"/>
        <v>62351850.00000001</v>
      </c>
      <c r="F64" s="162"/>
    </row>
    <row r="65" spans="1:6" ht="126">
      <c r="A65" s="48" t="s">
        <v>809</v>
      </c>
      <c r="B65" s="49" t="s">
        <v>20</v>
      </c>
      <c r="C65" s="84">
        <v>608.3</v>
      </c>
      <c r="D65" s="172">
        <v>6704500</v>
      </c>
      <c r="E65" s="125">
        <f aca="true" t="shared" si="2" ref="E65:E90">D65*C65</f>
        <v>4078347349.9999995</v>
      </c>
      <c r="F65" s="101"/>
    </row>
    <row r="66" spans="1:6" ht="126">
      <c r="A66" s="12" t="s">
        <v>809</v>
      </c>
      <c r="B66" s="2" t="s">
        <v>20</v>
      </c>
      <c r="C66" s="7">
        <v>339.8</v>
      </c>
      <c r="D66" s="172">
        <v>6704500</v>
      </c>
      <c r="E66" s="25">
        <f t="shared" si="2"/>
        <v>2278189100</v>
      </c>
      <c r="F66" s="90"/>
    </row>
    <row r="67" spans="1:6" ht="126">
      <c r="A67" s="12" t="s">
        <v>809</v>
      </c>
      <c r="B67" s="2" t="s">
        <v>20</v>
      </c>
      <c r="C67" s="7">
        <v>319.1</v>
      </c>
      <c r="D67" s="172">
        <v>6704500</v>
      </c>
      <c r="E67" s="25">
        <f t="shared" si="2"/>
        <v>2139405950.0000002</v>
      </c>
      <c r="F67" s="90"/>
    </row>
    <row r="68" spans="1:6" ht="110.25">
      <c r="A68" s="27" t="s">
        <v>810</v>
      </c>
      <c r="B68" s="168" t="s">
        <v>20</v>
      </c>
      <c r="C68" s="166">
        <v>343</v>
      </c>
      <c r="D68" s="172">
        <v>6704500</v>
      </c>
      <c r="E68" s="126">
        <f t="shared" si="2"/>
        <v>2299643500</v>
      </c>
      <c r="F68" s="162"/>
    </row>
    <row r="69" spans="1:6" ht="126">
      <c r="A69" s="29" t="s">
        <v>809</v>
      </c>
      <c r="B69" s="37" t="s">
        <v>20</v>
      </c>
      <c r="C69" s="84">
        <v>525.6</v>
      </c>
      <c r="D69" s="172">
        <v>6704500</v>
      </c>
      <c r="E69" s="125">
        <f t="shared" si="2"/>
        <v>3523885200</v>
      </c>
      <c r="F69" s="101"/>
    </row>
    <row r="70" spans="1:6" ht="110.25">
      <c r="A70" s="29" t="s">
        <v>810</v>
      </c>
      <c r="B70" s="37" t="s">
        <v>20</v>
      </c>
      <c r="C70" s="84">
        <v>2252.9</v>
      </c>
      <c r="D70" s="174">
        <v>6704500</v>
      </c>
      <c r="E70" s="125">
        <f t="shared" si="2"/>
        <v>15104568050</v>
      </c>
      <c r="F70" s="101"/>
    </row>
    <row r="71" spans="1:6" ht="126">
      <c r="A71" s="29" t="s">
        <v>920</v>
      </c>
      <c r="B71" s="37" t="s">
        <v>20</v>
      </c>
      <c r="C71" s="84">
        <v>5927.4</v>
      </c>
      <c r="D71" s="174">
        <v>3352000</v>
      </c>
      <c r="E71" s="125">
        <f t="shared" si="2"/>
        <v>19868644800</v>
      </c>
      <c r="F71" s="101"/>
    </row>
    <row r="72" spans="1:6" ht="126">
      <c r="A72" s="13" t="s">
        <v>933</v>
      </c>
      <c r="B72" s="158" t="s">
        <v>20</v>
      </c>
      <c r="C72" s="166">
        <v>39.1</v>
      </c>
      <c r="D72" s="172">
        <v>6704500</v>
      </c>
      <c r="E72" s="126">
        <f t="shared" si="2"/>
        <v>262145950</v>
      </c>
      <c r="F72" s="162"/>
    </row>
    <row r="73" spans="1:6" ht="126">
      <c r="A73" s="48" t="s">
        <v>809</v>
      </c>
      <c r="B73" s="37" t="s">
        <v>20</v>
      </c>
      <c r="C73" s="7">
        <v>301</v>
      </c>
      <c r="D73" s="172">
        <v>6704500</v>
      </c>
      <c r="E73" s="25">
        <f t="shared" si="2"/>
        <v>2018054500</v>
      </c>
      <c r="F73" s="90"/>
    </row>
    <row r="74" spans="1:6" ht="126">
      <c r="A74" s="48" t="s">
        <v>809</v>
      </c>
      <c r="B74" s="37" t="s">
        <v>20</v>
      </c>
      <c r="C74" s="7">
        <v>301.4</v>
      </c>
      <c r="D74" s="172">
        <v>6704500</v>
      </c>
      <c r="E74" s="25">
        <f t="shared" si="2"/>
        <v>2020736299.9999998</v>
      </c>
      <c r="F74" s="90"/>
    </row>
    <row r="75" spans="1:6" ht="94.5">
      <c r="A75" s="13" t="s">
        <v>799</v>
      </c>
      <c r="B75" s="4" t="s">
        <v>20</v>
      </c>
      <c r="C75" s="7">
        <v>108</v>
      </c>
      <c r="D75" s="25">
        <v>5102000</v>
      </c>
      <c r="E75" s="25">
        <f t="shared" si="2"/>
        <v>551016000</v>
      </c>
      <c r="F75" s="90"/>
    </row>
    <row r="76" spans="1:6" ht="110.25">
      <c r="A76" s="48" t="s">
        <v>934</v>
      </c>
      <c r="B76" s="37" t="s">
        <v>20</v>
      </c>
      <c r="C76" s="7">
        <v>40.5</v>
      </c>
      <c r="D76" s="172">
        <v>2551000</v>
      </c>
      <c r="E76" s="25">
        <f t="shared" si="2"/>
        <v>103315500</v>
      </c>
      <c r="F76" s="90"/>
    </row>
    <row r="77" spans="1:6" ht="94.5">
      <c r="A77" s="13" t="s">
        <v>814</v>
      </c>
      <c r="B77" s="4" t="s">
        <v>20</v>
      </c>
      <c r="C77" s="7">
        <v>20</v>
      </c>
      <c r="D77" s="25">
        <v>8504500</v>
      </c>
      <c r="E77" s="25">
        <f t="shared" si="2"/>
        <v>170090000</v>
      </c>
      <c r="F77" s="90"/>
    </row>
    <row r="78" spans="1:6" ht="126">
      <c r="A78" s="48" t="s">
        <v>935</v>
      </c>
      <c r="B78" s="37" t="s">
        <v>20</v>
      </c>
      <c r="C78" s="7">
        <v>38.5</v>
      </c>
      <c r="D78" s="172">
        <v>6704500</v>
      </c>
      <c r="E78" s="25">
        <f t="shared" si="2"/>
        <v>258123250</v>
      </c>
      <c r="F78" s="90"/>
    </row>
    <row r="79" spans="1:6" ht="94.5">
      <c r="A79" s="13" t="s">
        <v>814</v>
      </c>
      <c r="B79" s="4" t="s">
        <v>20</v>
      </c>
      <c r="C79" s="7">
        <v>1494.1</v>
      </c>
      <c r="D79" s="25">
        <v>8504500</v>
      </c>
      <c r="E79" s="25">
        <f t="shared" si="2"/>
        <v>12706573450</v>
      </c>
      <c r="F79" s="90"/>
    </row>
    <row r="80" spans="1:6" ht="47.25">
      <c r="A80" s="48" t="s">
        <v>926</v>
      </c>
      <c r="B80" s="37" t="s">
        <v>20</v>
      </c>
      <c r="C80" s="7">
        <v>345.7</v>
      </c>
      <c r="D80" s="172">
        <v>1841000</v>
      </c>
      <c r="E80" s="25">
        <f t="shared" si="2"/>
        <v>636433700</v>
      </c>
      <c r="F80" s="90"/>
    </row>
    <row r="81" spans="1:6" ht="47.25">
      <c r="A81" s="48" t="s">
        <v>926</v>
      </c>
      <c r="B81" s="37" t="s">
        <v>20</v>
      </c>
      <c r="C81" s="7">
        <v>15.7</v>
      </c>
      <c r="D81" s="172">
        <v>1841000</v>
      </c>
      <c r="E81" s="25">
        <f t="shared" si="2"/>
        <v>28903700</v>
      </c>
      <c r="F81" s="90"/>
    </row>
    <row r="82" spans="1:6" ht="47.25">
      <c r="A82" s="48" t="s">
        <v>926</v>
      </c>
      <c r="B82" s="37" t="s">
        <v>20</v>
      </c>
      <c r="C82" s="7">
        <v>39</v>
      </c>
      <c r="D82" s="172">
        <v>1841000</v>
      </c>
      <c r="E82" s="25">
        <f t="shared" si="2"/>
        <v>71799000</v>
      </c>
      <c r="F82" s="90"/>
    </row>
    <row r="83" spans="1:6" ht="94.5">
      <c r="A83" s="88" t="s">
        <v>801</v>
      </c>
      <c r="B83" s="89" t="s">
        <v>20</v>
      </c>
      <c r="C83" s="122">
        <v>0.7</v>
      </c>
      <c r="D83" s="135">
        <v>7087000</v>
      </c>
      <c r="E83" s="132">
        <f t="shared" si="2"/>
        <v>4960900</v>
      </c>
      <c r="F83" s="123"/>
    </row>
    <row r="84" spans="1:6" ht="94.5">
      <c r="A84" s="13" t="s">
        <v>814</v>
      </c>
      <c r="B84" s="4" t="s">
        <v>20</v>
      </c>
      <c r="C84" s="7">
        <v>154.1</v>
      </c>
      <c r="D84" s="25">
        <v>8504500</v>
      </c>
      <c r="E84" s="25">
        <f t="shared" si="2"/>
        <v>1310543450</v>
      </c>
      <c r="F84" s="90"/>
    </row>
    <row r="85" spans="1:6" ht="94.5">
      <c r="A85" s="13" t="s">
        <v>814</v>
      </c>
      <c r="B85" s="4" t="s">
        <v>20</v>
      </c>
      <c r="C85" s="10">
        <v>143.5</v>
      </c>
      <c r="D85" s="25">
        <v>8504500</v>
      </c>
      <c r="E85" s="25">
        <f t="shared" si="2"/>
        <v>1220395750</v>
      </c>
      <c r="F85" s="93"/>
    </row>
    <row r="86" spans="1:6" ht="78.75">
      <c r="A86" s="48" t="s">
        <v>802</v>
      </c>
      <c r="B86" s="4" t="s">
        <v>20</v>
      </c>
      <c r="C86" s="7">
        <v>90.8</v>
      </c>
      <c r="D86" s="25">
        <v>14174000</v>
      </c>
      <c r="E86" s="25">
        <f t="shared" si="2"/>
        <v>1286999200</v>
      </c>
      <c r="F86" s="90"/>
    </row>
    <row r="87" spans="1:6" ht="78.75">
      <c r="A87" s="48" t="s">
        <v>803</v>
      </c>
      <c r="B87" s="4" t="s">
        <v>20</v>
      </c>
      <c r="C87" s="7">
        <v>243.04</v>
      </c>
      <c r="D87" s="25">
        <v>14174000</v>
      </c>
      <c r="E87" s="25">
        <f t="shared" si="2"/>
        <v>3444848960</v>
      </c>
      <c r="F87" s="90"/>
    </row>
    <row r="88" spans="1:6" ht="78.75">
      <c r="A88" s="29" t="s">
        <v>800</v>
      </c>
      <c r="B88" s="37" t="s">
        <v>20</v>
      </c>
      <c r="C88" s="84">
        <v>98.66</v>
      </c>
      <c r="D88" s="125">
        <v>7087000</v>
      </c>
      <c r="E88" s="125">
        <f t="shared" si="2"/>
        <v>699203420</v>
      </c>
      <c r="F88" s="101"/>
    </row>
    <row r="89" spans="1:6" ht="94.5">
      <c r="A89" s="176" t="s">
        <v>897</v>
      </c>
      <c r="B89" s="4" t="s">
        <v>20</v>
      </c>
      <c r="C89" s="9">
        <v>160</v>
      </c>
      <c r="D89" s="172">
        <v>6791600</v>
      </c>
      <c r="E89" s="125">
        <f t="shared" si="2"/>
        <v>1086656000</v>
      </c>
      <c r="F89" s="93"/>
    </row>
    <row r="90" spans="1:6" ht="47.25">
      <c r="A90" s="48" t="s">
        <v>926</v>
      </c>
      <c r="B90" s="37" t="s">
        <v>20</v>
      </c>
      <c r="C90" s="7">
        <v>79.8</v>
      </c>
      <c r="D90" s="172">
        <v>1841000</v>
      </c>
      <c r="E90" s="25">
        <f t="shared" si="2"/>
        <v>146911800</v>
      </c>
      <c r="F90" s="90"/>
    </row>
    <row r="91" spans="1:6" ht="30">
      <c r="A91" s="29" t="s">
        <v>804</v>
      </c>
      <c r="B91" s="4" t="s">
        <v>20</v>
      </c>
      <c r="C91" s="7">
        <v>15.6</v>
      </c>
      <c r="D91" s="130"/>
      <c r="E91" s="25"/>
      <c r="F91" s="103" t="s">
        <v>805</v>
      </c>
    </row>
    <row r="92" spans="1:6" ht="110.25">
      <c r="A92" s="48" t="s">
        <v>815</v>
      </c>
      <c r="B92" s="37" t="s">
        <v>20</v>
      </c>
      <c r="C92" s="7">
        <v>3.0999999999999996</v>
      </c>
      <c r="D92" s="172">
        <v>7583500</v>
      </c>
      <c r="E92" s="25">
        <f>D92*C92</f>
        <v>23508849.999999996</v>
      </c>
      <c r="F92" s="93"/>
    </row>
    <row r="93" spans="1:6" ht="30">
      <c r="A93" s="29" t="s">
        <v>804</v>
      </c>
      <c r="B93" s="4" t="s">
        <v>20</v>
      </c>
      <c r="C93" s="10">
        <v>11.9</v>
      </c>
      <c r="D93" s="130"/>
      <c r="E93" s="25"/>
      <c r="F93" s="103" t="s">
        <v>805</v>
      </c>
    </row>
    <row r="94" spans="1:6" ht="94.5">
      <c r="A94" s="13" t="s">
        <v>816</v>
      </c>
      <c r="B94" s="37" t="s">
        <v>20</v>
      </c>
      <c r="C94" s="10">
        <v>3.7</v>
      </c>
      <c r="D94" s="25">
        <v>10187500</v>
      </c>
      <c r="E94" s="25">
        <f>D94*C94</f>
        <v>37693750</v>
      </c>
      <c r="F94" s="93"/>
    </row>
    <row r="95" spans="1:6" ht="30">
      <c r="A95" s="29" t="s">
        <v>804</v>
      </c>
      <c r="B95" s="4" t="s">
        <v>20</v>
      </c>
      <c r="C95" s="7">
        <v>16</v>
      </c>
      <c r="D95" s="25"/>
      <c r="E95" s="25"/>
      <c r="F95" s="103" t="s">
        <v>805</v>
      </c>
    </row>
    <row r="96" spans="1:6" ht="63">
      <c r="A96" s="48" t="s">
        <v>807</v>
      </c>
      <c r="B96" s="37" t="s">
        <v>20</v>
      </c>
      <c r="C96" s="7">
        <v>6.300000000000001</v>
      </c>
      <c r="D96" s="25">
        <v>33958000</v>
      </c>
      <c r="E96" s="25">
        <f>D96*C96</f>
        <v>213935400.00000003</v>
      </c>
      <c r="F96" s="90"/>
    </row>
    <row r="97" spans="1:6" ht="30">
      <c r="A97" s="29" t="s">
        <v>804</v>
      </c>
      <c r="B97" s="4" t="s">
        <v>20</v>
      </c>
      <c r="C97" s="7">
        <v>8</v>
      </c>
      <c r="D97" s="25"/>
      <c r="E97" s="25"/>
      <c r="F97" s="90" t="s">
        <v>805</v>
      </c>
    </row>
    <row r="98" spans="1:6" ht="63">
      <c r="A98" s="48" t="s">
        <v>806</v>
      </c>
      <c r="B98" s="37" t="s">
        <v>20</v>
      </c>
      <c r="C98" s="7">
        <v>3.0999999999999996</v>
      </c>
      <c r="D98" s="25">
        <v>33958000</v>
      </c>
      <c r="E98" s="25">
        <f>D98*C98</f>
        <v>105269799.99999999</v>
      </c>
      <c r="F98" s="90"/>
    </row>
    <row r="99" spans="1:6" ht="94.5">
      <c r="A99" s="175" t="s">
        <v>905</v>
      </c>
      <c r="B99" s="37" t="s">
        <v>20</v>
      </c>
      <c r="C99" s="7">
        <v>213.8</v>
      </c>
      <c r="D99" s="172">
        <v>5205600</v>
      </c>
      <c r="E99" s="25">
        <f>D99*C99</f>
        <v>1112957280</v>
      </c>
      <c r="F99" s="90"/>
    </row>
    <row r="100" spans="1:6" ht="94.5">
      <c r="A100" s="176" t="s">
        <v>897</v>
      </c>
      <c r="B100" s="37" t="s">
        <v>20</v>
      </c>
      <c r="C100" s="7">
        <v>160</v>
      </c>
      <c r="D100" s="172">
        <v>6791600</v>
      </c>
      <c r="E100" s="25">
        <f>D100*C100</f>
        <v>1086656000</v>
      </c>
      <c r="F100" s="90"/>
    </row>
    <row r="101" spans="1:6" ht="30">
      <c r="A101" s="29" t="s">
        <v>804</v>
      </c>
      <c r="B101" s="4" t="s">
        <v>20</v>
      </c>
      <c r="C101" s="7">
        <v>8</v>
      </c>
      <c r="D101" s="25"/>
      <c r="E101" s="24"/>
      <c r="F101" s="90" t="s">
        <v>805</v>
      </c>
    </row>
    <row r="102" spans="1:6" ht="63">
      <c r="A102" s="48" t="s">
        <v>806</v>
      </c>
      <c r="B102" s="37" t="s">
        <v>20</v>
      </c>
      <c r="C102" s="10">
        <v>4.699999999999999</v>
      </c>
      <c r="D102" s="25">
        <v>33958000</v>
      </c>
      <c r="E102" s="24">
        <f>D102*C102</f>
        <v>159602599.99999997</v>
      </c>
      <c r="F102" s="90"/>
    </row>
    <row r="103" spans="1:6" ht="30">
      <c r="A103" s="29" t="s">
        <v>804</v>
      </c>
      <c r="B103" s="4" t="s">
        <v>20</v>
      </c>
      <c r="C103" s="7">
        <v>3.4</v>
      </c>
      <c r="D103" s="25"/>
      <c r="E103" s="25"/>
      <c r="F103" s="90" t="s">
        <v>805</v>
      </c>
    </row>
    <row r="104" spans="1:6" ht="63">
      <c r="A104" s="48" t="s">
        <v>806</v>
      </c>
      <c r="B104" s="37" t="s">
        <v>20</v>
      </c>
      <c r="C104" s="7">
        <v>0.6</v>
      </c>
      <c r="D104" s="25">
        <v>33958000</v>
      </c>
      <c r="E104" s="25">
        <f>D104*C104</f>
        <v>20374800</v>
      </c>
      <c r="F104" s="90"/>
    </row>
    <row r="105" spans="1:6" ht="30">
      <c r="A105" s="29" t="s">
        <v>804</v>
      </c>
      <c r="B105" s="4" t="s">
        <v>20</v>
      </c>
      <c r="C105" s="7">
        <v>13.2</v>
      </c>
      <c r="D105" s="25"/>
      <c r="E105" s="25"/>
      <c r="F105" s="90" t="s">
        <v>805</v>
      </c>
    </row>
    <row r="106" spans="1:6" ht="94.5">
      <c r="A106" s="176" t="s">
        <v>896</v>
      </c>
      <c r="B106" s="37" t="s">
        <v>20</v>
      </c>
      <c r="C106" s="21">
        <v>64.6</v>
      </c>
      <c r="D106" s="172">
        <v>6791600</v>
      </c>
      <c r="E106" s="25">
        <f>D106*C106</f>
        <v>438737359.99999994</v>
      </c>
      <c r="F106" s="90"/>
    </row>
    <row r="107" spans="1:6" ht="30">
      <c r="A107" s="29" t="s">
        <v>804</v>
      </c>
      <c r="B107" s="4" t="s">
        <v>20</v>
      </c>
      <c r="C107" s="7">
        <v>13.1</v>
      </c>
      <c r="D107" s="25"/>
      <c r="E107" s="25"/>
      <c r="F107" s="90" t="s">
        <v>805</v>
      </c>
    </row>
    <row r="108" spans="1:6" ht="94.5">
      <c r="A108" s="176" t="s">
        <v>896</v>
      </c>
      <c r="B108" s="37" t="s">
        <v>20</v>
      </c>
      <c r="C108" s="7">
        <v>76.60000000000001</v>
      </c>
      <c r="D108" s="172">
        <v>6791600</v>
      </c>
      <c r="E108" s="25">
        <f>D108*C108</f>
        <v>520236560.00000006</v>
      </c>
      <c r="F108" s="90"/>
    </row>
    <row r="109" spans="1:6" ht="30">
      <c r="A109" s="29" t="s">
        <v>804</v>
      </c>
      <c r="B109" s="4" t="s">
        <v>20</v>
      </c>
      <c r="C109" s="7">
        <v>8</v>
      </c>
      <c r="D109" s="25"/>
      <c r="E109" s="25"/>
      <c r="F109" s="90" t="s">
        <v>805</v>
      </c>
    </row>
    <row r="110" spans="1:6" ht="63">
      <c r="A110" s="48" t="s">
        <v>806</v>
      </c>
      <c r="B110" s="37" t="s">
        <v>20</v>
      </c>
      <c r="C110" s="7">
        <v>1.9000000000000004</v>
      </c>
      <c r="D110" s="25">
        <v>33958000</v>
      </c>
      <c r="E110" s="25">
        <f>D110*C110</f>
        <v>64520200.000000015</v>
      </c>
      <c r="F110" s="90"/>
    </row>
    <row r="111" spans="1:6" ht="94.5">
      <c r="A111" s="175" t="s">
        <v>895</v>
      </c>
      <c r="B111" s="37" t="s">
        <v>20</v>
      </c>
      <c r="C111" s="7">
        <v>147.9</v>
      </c>
      <c r="D111" s="172">
        <v>5205600</v>
      </c>
      <c r="E111" s="25">
        <f>D111*C111</f>
        <v>769908240</v>
      </c>
      <c r="F111" s="90"/>
    </row>
    <row r="112" spans="1:6" ht="30">
      <c r="A112" s="29" t="s">
        <v>804</v>
      </c>
      <c r="B112" s="4" t="s">
        <v>20</v>
      </c>
      <c r="C112" s="84">
        <v>8</v>
      </c>
      <c r="D112" s="125"/>
      <c r="E112" s="125"/>
      <c r="F112" s="101" t="s">
        <v>805</v>
      </c>
    </row>
    <row r="113" spans="1:6" ht="63">
      <c r="A113" s="48" t="s">
        <v>806</v>
      </c>
      <c r="B113" s="4" t="s">
        <v>20</v>
      </c>
      <c r="C113" s="84">
        <v>0.9</v>
      </c>
      <c r="D113" s="125">
        <v>33958000</v>
      </c>
      <c r="E113" s="125">
        <f>D113*C113</f>
        <v>30562200</v>
      </c>
      <c r="F113" s="101"/>
    </row>
    <row r="114" spans="1:6" ht="18.75">
      <c r="A114" s="29" t="s">
        <v>804</v>
      </c>
      <c r="B114" s="4" t="s">
        <v>20</v>
      </c>
      <c r="C114" s="7">
        <v>13.5</v>
      </c>
      <c r="D114" s="25"/>
      <c r="E114" s="152"/>
      <c r="F114" s="90"/>
    </row>
    <row r="115" spans="1:6" ht="94.5">
      <c r="A115" s="176" t="s">
        <v>897</v>
      </c>
      <c r="B115" s="4" t="s">
        <v>20</v>
      </c>
      <c r="C115" s="10">
        <v>28.200000000000003</v>
      </c>
      <c r="D115" s="172">
        <v>6791600</v>
      </c>
      <c r="E115" s="25">
        <f>D115*C115</f>
        <v>191523120.00000003</v>
      </c>
      <c r="F115" s="90"/>
    </row>
    <row r="116" spans="1:6" ht="30">
      <c r="A116" s="13" t="s">
        <v>804</v>
      </c>
      <c r="B116" s="4" t="s">
        <v>20</v>
      </c>
      <c r="C116" s="7">
        <v>2.6</v>
      </c>
      <c r="D116" s="25"/>
      <c r="E116" s="25"/>
      <c r="F116" s="90" t="s">
        <v>805</v>
      </c>
    </row>
    <row r="117" spans="1:6" ht="63">
      <c r="A117" s="13" t="s">
        <v>806</v>
      </c>
      <c r="B117" s="4" t="s">
        <v>20</v>
      </c>
      <c r="C117" s="7">
        <v>2.2</v>
      </c>
      <c r="D117" s="25">
        <v>33958000</v>
      </c>
      <c r="E117" s="25">
        <f>D117*C117</f>
        <v>74707600</v>
      </c>
      <c r="F117" s="90"/>
    </row>
    <row r="118" spans="1:6" ht="30">
      <c r="A118" s="13" t="s">
        <v>804</v>
      </c>
      <c r="B118" s="4" t="s">
        <v>20</v>
      </c>
      <c r="C118" s="21">
        <v>12.1</v>
      </c>
      <c r="D118" s="25"/>
      <c r="E118" s="25"/>
      <c r="F118" s="90" t="s">
        <v>805</v>
      </c>
    </row>
    <row r="119" spans="1:6" ht="94.5">
      <c r="A119" s="13" t="s">
        <v>818</v>
      </c>
      <c r="B119" s="4" t="s">
        <v>20</v>
      </c>
      <c r="C119" s="21">
        <v>5.000000000000002</v>
      </c>
      <c r="D119" s="25">
        <v>10187500</v>
      </c>
      <c r="E119" s="25">
        <f>D119*C119</f>
        <v>50937500.000000015</v>
      </c>
      <c r="F119" s="90"/>
    </row>
    <row r="120" spans="1:6" ht="18.75">
      <c r="A120" s="13" t="s">
        <v>804</v>
      </c>
      <c r="B120" s="120" t="s">
        <v>20</v>
      </c>
      <c r="C120" s="7">
        <v>12</v>
      </c>
      <c r="D120" s="25"/>
      <c r="E120" s="25"/>
      <c r="F120" s="90"/>
    </row>
    <row r="121" spans="1:6" ht="94.5">
      <c r="A121" s="13" t="s">
        <v>817</v>
      </c>
      <c r="B121" s="4" t="s">
        <v>20</v>
      </c>
      <c r="C121" s="7">
        <v>4.399999999999999</v>
      </c>
      <c r="D121" s="25">
        <v>10187500</v>
      </c>
      <c r="E121" s="25">
        <f>D121*C121</f>
        <v>44824999.999999985</v>
      </c>
      <c r="F121" s="90"/>
    </row>
    <row r="122" spans="1:6" ht="30">
      <c r="A122" s="13" t="s">
        <v>804</v>
      </c>
      <c r="B122" s="4"/>
      <c r="C122" s="7">
        <v>12</v>
      </c>
      <c r="D122" s="25"/>
      <c r="E122" s="25"/>
      <c r="F122" s="90" t="s">
        <v>805</v>
      </c>
    </row>
    <row r="123" spans="1:6" ht="94.5">
      <c r="A123" s="13" t="s">
        <v>816</v>
      </c>
      <c r="B123" s="4" t="s">
        <v>20</v>
      </c>
      <c r="C123" s="7">
        <v>3.0999999999999996</v>
      </c>
      <c r="D123" s="25">
        <v>10187500</v>
      </c>
      <c r="E123" s="25">
        <f>D123*C123</f>
        <v>31581249.999999996</v>
      </c>
      <c r="F123" s="90"/>
    </row>
    <row r="124" spans="1:6" ht="16.5">
      <c r="A124" s="13" t="s">
        <v>804</v>
      </c>
      <c r="B124" s="4"/>
      <c r="C124" s="7">
        <v>12</v>
      </c>
      <c r="D124" s="25"/>
      <c r="E124" s="25"/>
      <c r="F124" s="90"/>
    </row>
    <row r="125" spans="1:6" ht="94.5">
      <c r="A125" s="13" t="s">
        <v>817</v>
      </c>
      <c r="B125" s="4" t="s">
        <v>20</v>
      </c>
      <c r="C125" s="7">
        <v>5.6</v>
      </c>
      <c r="D125" s="25">
        <v>10187500</v>
      </c>
      <c r="E125" s="25">
        <f aca="true" t="shared" si="3" ref="E125:E144">D125*C125</f>
        <v>57050000</v>
      </c>
      <c r="F125" s="90"/>
    </row>
    <row r="126" spans="1:6" ht="47.25">
      <c r="A126" s="39" t="s">
        <v>926</v>
      </c>
      <c r="B126" s="4" t="s">
        <v>20</v>
      </c>
      <c r="C126" s="7">
        <v>81.3</v>
      </c>
      <c r="D126" s="172">
        <v>1841000</v>
      </c>
      <c r="E126" s="25">
        <f t="shared" si="3"/>
        <v>149673300</v>
      </c>
      <c r="F126" s="90"/>
    </row>
    <row r="127" spans="1:6" ht="47.25">
      <c r="A127" s="39" t="s">
        <v>926</v>
      </c>
      <c r="B127" s="4" t="s">
        <v>20</v>
      </c>
      <c r="C127" s="7">
        <v>79.9</v>
      </c>
      <c r="D127" s="172">
        <v>1841000</v>
      </c>
      <c r="E127" s="25">
        <f t="shared" si="3"/>
        <v>147095900</v>
      </c>
      <c r="F127" s="90"/>
    </row>
    <row r="128" spans="1:6" ht="47.25">
      <c r="A128" s="39" t="s">
        <v>926</v>
      </c>
      <c r="B128" s="4" t="s">
        <v>20</v>
      </c>
      <c r="C128" s="7">
        <v>80.4</v>
      </c>
      <c r="D128" s="172">
        <v>1841000</v>
      </c>
      <c r="E128" s="25">
        <f t="shared" si="3"/>
        <v>148016400</v>
      </c>
      <c r="F128" s="90"/>
    </row>
    <row r="129" spans="1:6" ht="47.25">
      <c r="A129" s="39" t="s">
        <v>926</v>
      </c>
      <c r="B129" s="4" t="s">
        <v>20</v>
      </c>
      <c r="C129" s="7">
        <v>80</v>
      </c>
      <c r="D129" s="172">
        <v>1841000</v>
      </c>
      <c r="E129" s="25">
        <f t="shared" si="3"/>
        <v>147280000</v>
      </c>
      <c r="F129" s="90"/>
    </row>
    <row r="130" spans="1:6" ht="94.5">
      <c r="A130" s="39" t="s">
        <v>823</v>
      </c>
      <c r="B130" s="4" t="s">
        <v>20</v>
      </c>
      <c r="C130" s="7">
        <v>92.9</v>
      </c>
      <c r="D130" s="25">
        <v>7087000</v>
      </c>
      <c r="E130" s="25">
        <f t="shared" si="3"/>
        <v>658382300</v>
      </c>
      <c r="F130" s="90"/>
    </row>
    <row r="131" spans="1:6" ht="47.25">
      <c r="A131" s="13" t="s">
        <v>926</v>
      </c>
      <c r="B131" s="4" t="s">
        <v>20</v>
      </c>
      <c r="C131" s="7">
        <v>79.7</v>
      </c>
      <c r="D131" s="172">
        <v>1841000</v>
      </c>
      <c r="E131" s="25">
        <f t="shared" si="3"/>
        <v>146727700</v>
      </c>
      <c r="F131" s="90"/>
    </row>
    <row r="132" spans="1:6" ht="47.25">
      <c r="A132" s="13" t="s">
        <v>926</v>
      </c>
      <c r="B132" s="4" t="s">
        <v>20</v>
      </c>
      <c r="C132" s="7">
        <v>79.9</v>
      </c>
      <c r="D132" s="172">
        <v>1841000</v>
      </c>
      <c r="E132" s="25">
        <f t="shared" si="3"/>
        <v>147095900</v>
      </c>
      <c r="F132" s="90"/>
    </row>
    <row r="133" spans="1:6" ht="47.25">
      <c r="A133" s="13" t="s">
        <v>926</v>
      </c>
      <c r="B133" s="4" t="s">
        <v>20</v>
      </c>
      <c r="C133" s="7">
        <v>79.7</v>
      </c>
      <c r="D133" s="172">
        <v>1841000</v>
      </c>
      <c r="E133" s="25">
        <f t="shared" si="3"/>
        <v>146727700</v>
      </c>
      <c r="F133" s="90"/>
    </row>
    <row r="134" spans="1:6" ht="47.25">
      <c r="A134" s="13" t="s">
        <v>926</v>
      </c>
      <c r="B134" s="4" t="s">
        <v>20</v>
      </c>
      <c r="C134" s="7">
        <v>79.8</v>
      </c>
      <c r="D134" s="172">
        <v>1841000</v>
      </c>
      <c r="E134" s="25">
        <f t="shared" si="3"/>
        <v>146911800</v>
      </c>
      <c r="F134" s="90"/>
    </row>
    <row r="135" spans="1:6" ht="47.25">
      <c r="A135" s="13" t="s">
        <v>926</v>
      </c>
      <c r="B135" s="4" t="s">
        <v>20</v>
      </c>
      <c r="C135" s="7">
        <v>79.9</v>
      </c>
      <c r="D135" s="172">
        <v>1841000</v>
      </c>
      <c r="E135" s="24">
        <f t="shared" si="3"/>
        <v>147095900</v>
      </c>
      <c r="F135" s="90"/>
    </row>
    <row r="136" spans="1:6" ht="78.75">
      <c r="A136" s="13" t="s">
        <v>803</v>
      </c>
      <c r="B136" s="4" t="s">
        <v>20</v>
      </c>
      <c r="C136" s="7">
        <v>66.6</v>
      </c>
      <c r="D136" s="25">
        <v>14174000</v>
      </c>
      <c r="E136" s="25">
        <f t="shared" si="3"/>
        <v>943988399.9999999</v>
      </c>
      <c r="F136" s="90"/>
    </row>
    <row r="137" spans="1:6" ht="18.75">
      <c r="A137" s="13" t="s">
        <v>820</v>
      </c>
      <c r="B137" s="4" t="s">
        <v>20</v>
      </c>
      <c r="C137" s="7">
        <v>198.1</v>
      </c>
      <c r="D137" s="172">
        <v>2041000</v>
      </c>
      <c r="E137" s="25">
        <f t="shared" si="3"/>
        <v>404322100</v>
      </c>
      <c r="F137" s="90"/>
    </row>
    <row r="138" spans="1:6" ht="47.25">
      <c r="A138" s="12" t="s">
        <v>926</v>
      </c>
      <c r="B138" s="4" t="s">
        <v>20</v>
      </c>
      <c r="C138" s="7">
        <v>279.70000000000005</v>
      </c>
      <c r="D138" s="172">
        <v>1841000</v>
      </c>
      <c r="E138" s="25">
        <f t="shared" si="3"/>
        <v>514927700.00000006</v>
      </c>
      <c r="F138" s="90"/>
    </row>
    <row r="139" spans="1:6" ht="110.25">
      <c r="A139" s="167" t="s">
        <v>810</v>
      </c>
      <c r="B139" s="158" t="s">
        <v>20</v>
      </c>
      <c r="C139" s="166">
        <v>1006.6</v>
      </c>
      <c r="D139" s="172">
        <v>6704500</v>
      </c>
      <c r="E139" s="126">
        <f t="shared" si="3"/>
        <v>6748749700</v>
      </c>
      <c r="F139" s="162"/>
    </row>
    <row r="140" spans="1:6" ht="47.25">
      <c r="A140" s="13" t="s">
        <v>926</v>
      </c>
      <c r="B140" s="4" t="s">
        <v>20</v>
      </c>
      <c r="C140" s="7">
        <v>79.8</v>
      </c>
      <c r="D140" s="172">
        <v>1841000</v>
      </c>
      <c r="E140" s="25">
        <f t="shared" si="3"/>
        <v>146911800</v>
      </c>
      <c r="F140" s="90"/>
    </row>
    <row r="141" spans="1:6" ht="94.5">
      <c r="A141" s="13" t="s">
        <v>799</v>
      </c>
      <c r="B141" s="4" t="s">
        <v>20</v>
      </c>
      <c r="C141" s="10">
        <v>330</v>
      </c>
      <c r="D141" s="24">
        <v>5102000</v>
      </c>
      <c r="E141" s="25">
        <f t="shared" si="3"/>
        <v>1683660000</v>
      </c>
      <c r="F141" s="93"/>
    </row>
    <row r="142" spans="1:6" ht="110.25">
      <c r="A142" s="48" t="s">
        <v>925</v>
      </c>
      <c r="B142" s="20"/>
      <c r="C142" s="9">
        <v>101.6</v>
      </c>
      <c r="D142" s="172">
        <v>2551000</v>
      </c>
      <c r="E142" s="25">
        <f t="shared" si="3"/>
        <v>259181600</v>
      </c>
      <c r="F142" s="93"/>
    </row>
    <row r="143" spans="1:6" ht="110.25">
      <c r="A143" s="48" t="s">
        <v>925</v>
      </c>
      <c r="B143" s="4" t="s">
        <v>20</v>
      </c>
      <c r="C143" s="9">
        <v>75.7</v>
      </c>
      <c r="D143" s="172">
        <v>2551000</v>
      </c>
      <c r="E143" s="25">
        <f t="shared" si="3"/>
        <v>193110700</v>
      </c>
      <c r="F143" s="93"/>
    </row>
    <row r="144" spans="1:6" ht="63">
      <c r="A144" s="13" t="s">
        <v>821</v>
      </c>
      <c r="B144" s="4" t="s">
        <v>20</v>
      </c>
      <c r="C144" s="7">
        <v>49.4</v>
      </c>
      <c r="D144" s="25">
        <v>31014000</v>
      </c>
      <c r="E144" s="25">
        <f t="shared" si="3"/>
        <v>1532091600</v>
      </c>
      <c r="F144" s="90"/>
    </row>
    <row r="145" spans="1:6" ht="18.75">
      <c r="A145" s="13" t="s">
        <v>819</v>
      </c>
      <c r="B145" s="4" t="s">
        <v>20</v>
      </c>
      <c r="C145" s="9">
        <v>13.4</v>
      </c>
      <c r="D145" s="25"/>
      <c r="E145" s="25"/>
      <c r="F145" s="93"/>
    </row>
    <row r="146" spans="1:6" ht="94.5">
      <c r="A146" s="176" t="s">
        <v>896</v>
      </c>
      <c r="B146" s="4" t="s">
        <v>20</v>
      </c>
      <c r="C146" s="9">
        <v>52.50000000000001</v>
      </c>
      <c r="D146" s="172">
        <v>6791600</v>
      </c>
      <c r="E146" s="25">
        <f aca="true" t="shared" si="4" ref="E146:E152">D146*C146</f>
        <v>356559000.00000006</v>
      </c>
      <c r="F146" s="93"/>
    </row>
    <row r="147" spans="1:6" ht="78.75">
      <c r="A147" s="13" t="s">
        <v>822</v>
      </c>
      <c r="B147" s="4" t="s">
        <v>20</v>
      </c>
      <c r="C147" s="7">
        <v>55.8</v>
      </c>
      <c r="D147" s="172">
        <v>22164000</v>
      </c>
      <c r="E147" s="25">
        <f t="shared" si="4"/>
        <v>1236751200</v>
      </c>
      <c r="F147" s="90"/>
    </row>
    <row r="148" spans="1:6" ht="94.5">
      <c r="A148" s="13" t="s">
        <v>799</v>
      </c>
      <c r="B148" s="4" t="s">
        <v>20</v>
      </c>
      <c r="C148" s="7">
        <v>100</v>
      </c>
      <c r="D148" s="25">
        <v>5102000</v>
      </c>
      <c r="E148" s="25">
        <f t="shared" si="4"/>
        <v>510200000</v>
      </c>
      <c r="F148" s="90"/>
    </row>
    <row r="149" spans="1:6" ht="110.25">
      <c r="A149" s="48" t="s">
        <v>925</v>
      </c>
      <c r="B149" s="4" t="s">
        <v>20</v>
      </c>
      <c r="C149" s="7">
        <v>94.69999999999999</v>
      </c>
      <c r="D149" s="172">
        <v>2551000</v>
      </c>
      <c r="E149" s="25">
        <f t="shared" si="4"/>
        <v>241579699.99999997</v>
      </c>
      <c r="F149" s="90"/>
    </row>
    <row r="150" spans="1:6" ht="110.25">
      <c r="A150" s="29" t="s">
        <v>792</v>
      </c>
      <c r="B150" s="37" t="s">
        <v>20</v>
      </c>
      <c r="C150" s="84">
        <v>42.2</v>
      </c>
      <c r="D150" s="172">
        <v>4420000</v>
      </c>
      <c r="E150" s="125">
        <f t="shared" si="4"/>
        <v>186524000</v>
      </c>
      <c r="F150" s="101"/>
    </row>
    <row r="151" spans="1:6" ht="18.75">
      <c r="A151" s="13" t="s">
        <v>820</v>
      </c>
      <c r="B151" s="4" t="s">
        <v>20</v>
      </c>
      <c r="C151" s="84">
        <v>573</v>
      </c>
      <c r="D151" s="172">
        <v>2041000</v>
      </c>
      <c r="E151" s="25">
        <f t="shared" si="4"/>
        <v>1169493000</v>
      </c>
      <c r="F151" s="93"/>
    </row>
    <row r="152" spans="1:6" ht="47.25">
      <c r="A152" s="13" t="s">
        <v>926</v>
      </c>
      <c r="B152" s="4" t="s">
        <v>20</v>
      </c>
      <c r="C152" s="9">
        <v>581.5999999999999</v>
      </c>
      <c r="D152" s="172">
        <v>1841000</v>
      </c>
      <c r="E152" s="25">
        <f t="shared" si="4"/>
        <v>1070725599.9999999</v>
      </c>
      <c r="F152" s="93"/>
    </row>
    <row r="153" spans="1:6" ht="16.5">
      <c r="A153" s="13" t="s">
        <v>819</v>
      </c>
      <c r="B153" s="4"/>
      <c r="C153" s="7">
        <v>13.7</v>
      </c>
      <c r="D153" s="25"/>
      <c r="E153" s="25"/>
      <c r="F153" s="90"/>
    </row>
    <row r="154" spans="1:6" ht="94.5">
      <c r="A154" s="176" t="s">
        <v>896</v>
      </c>
      <c r="B154" s="4" t="s">
        <v>20</v>
      </c>
      <c r="C154" s="10">
        <v>40.2</v>
      </c>
      <c r="D154" s="173">
        <v>6791600</v>
      </c>
      <c r="E154" s="25">
        <f aca="true" t="shared" si="5" ref="E154:E168">D154*C154</f>
        <v>273022320</v>
      </c>
      <c r="F154" s="93"/>
    </row>
    <row r="155" spans="1:6" ht="94.5">
      <c r="A155" s="13" t="s">
        <v>799</v>
      </c>
      <c r="B155" s="4" t="s">
        <v>20</v>
      </c>
      <c r="C155" s="9">
        <v>80</v>
      </c>
      <c r="D155" s="25">
        <v>5102000</v>
      </c>
      <c r="E155" s="25">
        <f t="shared" si="5"/>
        <v>408160000</v>
      </c>
      <c r="F155" s="100"/>
    </row>
    <row r="156" spans="1:6" ht="110.25">
      <c r="A156" s="48" t="s">
        <v>925</v>
      </c>
      <c r="B156" s="4" t="s">
        <v>20</v>
      </c>
      <c r="C156" s="9">
        <v>169.9</v>
      </c>
      <c r="D156" s="172">
        <v>2551000</v>
      </c>
      <c r="E156" s="25">
        <f t="shared" si="5"/>
        <v>433414900</v>
      </c>
      <c r="F156" s="100"/>
    </row>
    <row r="157" spans="1:6" ht="110.25">
      <c r="A157" s="29" t="s">
        <v>925</v>
      </c>
      <c r="B157" s="37" t="s">
        <v>20</v>
      </c>
      <c r="C157" s="50">
        <v>86</v>
      </c>
      <c r="D157" s="172">
        <v>2551000</v>
      </c>
      <c r="E157" s="24">
        <f t="shared" si="5"/>
        <v>219386000</v>
      </c>
      <c r="F157" s="139"/>
    </row>
    <row r="158" spans="1:6" ht="110.25">
      <c r="A158" s="29" t="s">
        <v>925</v>
      </c>
      <c r="B158" s="37" t="s">
        <v>20</v>
      </c>
      <c r="C158" s="50">
        <v>172.2</v>
      </c>
      <c r="D158" s="172">
        <v>2551000</v>
      </c>
      <c r="E158" s="24">
        <f t="shared" si="5"/>
        <v>439282200</v>
      </c>
      <c r="F158" s="139"/>
    </row>
    <row r="159" spans="1:6" ht="63">
      <c r="A159" s="28" t="s">
        <v>825</v>
      </c>
      <c r="B159" s="158" t="s">
        <v>20</v>
      </c>
      <c r="C159" s="38">
        <v>82</v>
      </c>
      <c r="D159" s="172">
        <v>22164000</v>
      </c>
      <c r="E159" s="126">
        <f t="shared" si="5"/>
        <v>1817448000</v>
      </c>
      <c r="F159" s="160"/>
    </row>
    <row r="160" spans="1:6" ht="94.5">
      <c r="A160" s="13" t="s">
        <v>799</v>
      </c>
      <c r="B160" s="4" t="s">
        <v>20</v>
      </c>
      <c r="C160" s="9">
        <v>100</v>
      </c>
      <c r="D160" s="25">
        <v>5102000</v>
      </c>
      <c r="E160" s="25">
        <f t="shared" si="5"/>
        <v>510200000</v>
      </c>
      <c r="F160" s="93"/>
    </row>
    <row r="161" spans="1:6" ht="110.25">
      <c r="A161" s="48" t="s">
        <v>925</v>
      </c>
      <c r="B161" s="4" t="s">
        <v>20</v>
      </c>
      <c r="C161" s="9">
        <v>94.7</v>
      </c>
      <c r="D161" s="172">
        <v>2551000</v>
      </c>
      <c r="E161" s="25">
        <f t="shared" si="5"/>
        <v>241579700</v>
      </c>
      <c r="F161" s="93"/>
    </row>
    <row r="162" spans="1:6" ht="78.75">
      <c r="A162" s="48" t="s">
        <v>803</v>
      </c>
      <c r="B162" s="4" t="s">
        <v>20</v>
      </c>
      <c r="C162" s="9">
        <v>581.9</v>
      </c>
      <c r="D162" s="25">
        <v>14174000</v>
      </c>
      <c r="E162" s="25">
        <f t="shared" si="5"/>
        <v>8247850600</v>
      </c>
      <c r="F162" s="93"/>
    </row>
    <row r="163" spans="1:6" ht="94.5">
      <c r="A163" s="48" t="s">
        <v>789</v>
      </c>
      <c r="B163" s="37" t="s">
        <v>20</v>
      </c>
      <c r="C163" s="60">
        <v>79.3</v>
      </c>
      <c r="D163" s="130">
        <v>5670000</v>
      </c>
      <c r="E163" s="130">
        <f t="shared" si="5"/>
        <v>449631000</v>
      </c>
      <c r="F163" s="97"/>
    </row>
    <row r="164" spans="1:6" ht="110.25">
      <c r="A164" s="48" t="s">
        <v>792</v>
      </c>
      <c r="B164" s="37" t="s">
        <v>20</v>
      </c>
      <c r="C164" s="60">
        <v>25.8</v>
      </c>
      <c r="D164" s="172">
        <v>4420000</v>
      </c>
      <c r="E164" s="130">
        <f t="shared" si="5"/>
        <v>114036000</v>
      </c>
      <c r="F164" s="106"/>
    </row>
    <row r="165" spans="1:6" ht="94.5">
      <c r="A165" s="48" t="s">
        <v>787</v>
      </c>
      <c r="B165" s="37" t="s">
        <v>20</v>
      </c>
      <c r="C165" s="50">
        <v>46.6</v>
      </c>
      <c r="D165" s="125">
        <v>5003000</v>
      </c>
      <c r="E165" s="130">
        <f t="shared" si="5"/>
        <v>233139800</v>
      </c>
      <c r="F165" s="97"/>
    </row>
    <row r="166" spans="1:6" ht="94.5">
      <c r="A166" s="48" t="s">
        <v>824</v>
      </c>
      <c r="B166" s="37" t="s">
        <v>20</v>
      </c>
      <c r="C166" s="50">
        <v>29.1</v>
      </c>
      <c r="D166" s="172">
        <v>3953000</v>
      </c>
      <c r="E166" s="130">
        <f t="shared" si="5"/>
        <v>115032300</v>
      </c>
      <c r="F166" s="97"/>
    </row>
    <row r="167" spans="1:6" ht="94.5">
      <c r="A167" s="48" t="s">
        <v>787</v>
      </c>
      <c r="B167" s="37" t="s">
        <v>20</v>
      </c>
      <c r="C167" s="50">
        <v>23</v>
      </c>
      <c r="D167" s="125">
        <v>5003000</v>
      </c>
      <c r="E167" s="130">
        <f t="shared" si="5"/>
        <v>115069000</v>
      </c>
      <c r="F167" s="97"/>
    </row>
    <row r="168" spans="1:6" ht="94.5">
      <c r="A168" s="48" t="s">
        <v>824</v>
      </c>
      <c r="B168" s="37" t="s">
        <v>20</v>
      </c>
      <c r="C168" s="50">
        <v>40.5</v>
      </c>
      <c r="D168" s="172">
        <v>3953000</v>
      </c>
      <c r="E168" s="130">
        <f t="shared" si="5"/>
        <v>160096500</v>
      </c>
      <c r="F168" s="97"/>
    </row>
    <row r="169" spans="3:5" ht="16.5">
      <c r="C169" s="180">
        <f>SUM(C1:C168)</f>
        <v>30484.899999999994</v>
      </c>
      <c r="E169" s="157">
        <f>SUM(E154:E168)</f>
        <v>13777348320</v>
      </c>
    </row>
    <row r="171" spans="1:8" ht="110.25">
      <c r="A171" s="54"/>
      <c r="B171" s="30"/>
      <c r="C171" s="48" t="s">
        <v>784</v>
      </c>
      <c r="D171" s="49" t="s">
        <v>20</v>
      </c>
      <c r="E171" s="84">
        <v>109.7</v>
      </c>
      <c r="F171" s="125">
        <v>5003000</v>
      </c>
      <c r="G171" s="125">
        <v>548829100</v>
      </c>
      <c r="H171" s="216"/>
    </row>
    <row r="172" spans="1:8" ht="110.25">
      <c r="A172" s="61"/>
      <c r="B172" s="62" t="s">
        <v>57</v>
      </c>
      <c r="C172" s="48" t="s">
        <v>785</v>
      </c>
      <c r="D172" s="49" t="s">
        <v>20</v>
      </c>
      <c r="E172" s="50">
        <v>44</v>
      </c>
      <c r="F172" s="125">
        <v>5003000</v>
      </c>
      <c r="G172" s="125">
        <v>220132000</v>
      </c>
      <c r="H172" s="97"/>
    </row>
    <row r="173" spans="1:8" ht="189">
      <c r="A173" s="61"/>
      <c r="B173" s="30" t="s">
        <v>963</v>
      </c>
      <c r="C173" s="48" t="s">
        <v>786</v>
      </c>
      <c r="D173" s="49" t="s">
        <v>20</v>
      </c>
      <c r="E173" s="220">
        <v>351</v>
      </c>
      <c r="F173" s="125">
        <v>5102000</v>
      </c>
      <c r="G173" s="125">
        <v>1790802000</v>
      </c>
      <c r="H173" s="106"/>
    </row>
    <row r="174" spans="1:8" ht="141.75">
      <c r="A174" s="140"/>
      <c r="B174" s="62"/>
      <c r="C174" s="48" t="s">
        <v>786</v>
      </c>
      <c r="D174" s="49" t="s">
        <v>20</v>
      </c>
      <c r="E174" s="50">
        <v>284.7</v>
      </c>
      <c r="F174" s="125">
        <v>5102000</v>
      </c>
      <c r="G174" s="125">
        <v>1452539400</v>
      </c>
      <c r="H174" s="97"/>
    </row>
    <row r="175" spans="1:8" ht="141.75">
      <c r="A175" s="140"/>
      <c r="B175" s="62"/>
      <c r="C175" s="48" t="s">
        <v>786</v>
      </c>
      <c r="D175" s="49" t="s">
        <v>20</v>
      </c>
      <c r="E175" s="50">
        <v>305</v>
      </c>
      <c r="F175" s="125">
        <v>5102000</v>
      </c>
      <c r="G175" s="125">
        <v>1556110000</v>
      </c>
      <c r="H175" s="97"/>
    </row>
    <row r="176" spans="1:8" ht="299.25">
      <c r="A176" s="54"/>
      <c r="B176" s="30" t="s">
        <v>515</v>
      </c>
      <c r="C176" s="48" t="s">
        <v>780</v>
      </c>
      <c r="D176" s="49" t="s">
        <v>20</v>
      </c>
      <c r="E176" s="84">
        <v>83.6</v>
      </c>
      <c r="F176" s="125">
        <v>5670000</v>
      </c>
      <c r="G176" s="125">
        <v>474011999.99999994</v>
      </c>
      <c r="H176" s="101"/>
    </row>
    <row r="177" spans="1:8" ht="157.5">
      <c r="A177" s="54"/>
      <c r="B177" s="30" t="s">
        <v>523</v>
      </c>
      <c r="C177" s="29" t="s">
        <v>787</v>
      </c>
      <c r="D177" s="49" t="s">
        <v>20</v>
      </c>
      <c r="E177" s="84">
        <v>98.8</v>
      </c>
      <c r="F177" s="125">
        <v>5003000</v>
      </c>
      <c r="G177" s="125">
        <v>494296400</v>
      </c>
      <c r="H177" s="101"/>
    </row>
    <row r="178" spans="1:8" ht="110.25">
      <c r="A178" s="54"/>
      <c r="B178" s="55"/>
      <c r="C178" s="48" t="s">
        <v>780</v>
      </c>
      <c r="D178" s="37" t="s">
        <v>20</v>
      </c>
      <c r="E178" s="50">
        <v>200</v>
      </c>
      <c r="F178" s="125">
        <v>5670000</v>
      </c>
      <c r="G178" s="125">
        <v>1134000000</v>
      </c>
      <c r="H178" s="105"/>
    </row>
    <row r="179" spans="1:8" ht="94.5">
      <c r="A179" s="54"/>
      <c r="B179" s="69"/>
      <c r="C179" s="48" t="s">
        <v>777</v>
      </c>
      <c r="D179" s="37" t="s">
        <v>20</v>
      </c>
      <c r="E179" s="60">
        <v>85.7</v>
      </c>
      <c r="F179" s="130">
        <v>5003000</v>
      </c>
      <c r="G179" s="130">
        <v>428757100</v>
      </c>
      <c r="H179" s="105"/>
    </row>
    <row r="180" spans="1:8" ht="267.75">
      <c r="A180" s="54"/>
      <c r="B180" s="30" t="s">
        <v>517</v>
      </c>
      <c r="C180" s="29" t="s">
        <v>785</v>
      </c>
      <c r="D180" s="37" t="s">
        <v>20</v>
      </c>
      <c r="E180" s="84">
        <v>122.8</v>
      </c>
      <c r="F180" s="125">
        <v>5003000</v>
      </c>
      <c r="G180" s="125">
        <v>614368400</v>
      </c>
      <c r="H180" s="139"/>
    </row>
    <row r="181" spans="1:8" ht="346.5">
      <c r="A181" s="54"/>
      <c r="B181" s="30" t="s">
        <v>890</v>
      </c>
      <c r="C181" s="29" t="s">
        <v>789</v>
      </c>
      <c r="D181" s="37" t="s">
        <v>20</v>
      </c>
      <c r="E181" s="84">
        <v>70.4</v>
      </c>
      <c r="F181" s="125">
        <v>5670000</v>
      </c>
      <c r="G181" s="125">
        <v>399168000.00000006</v>
      </c>
      <c r="H181" s="101"/>
    </row>
    <row r="182" spans="1:8" ht="173.25">
      <c r="A182" s="54"/>
      <c r="B182" s="30" t="s">
        <v>518</v>
      </c>
      <c r="C182" s="29" t="s">
        <v>789</v>
      </c>
      <c r="D182" s="37" t="s">
        <v>20</v>
      </c>
      <c r="E182" s="84">
        <v>200</v>
      </c>
      <c r="F182" s="125">
        <v>5670000</v>
      </c>
      <c r="G182" s="125">
        <v>1134000000</v>
      </c>
      <c r="H182" s="101"/>
    </row>
    <row r="183" spans="1:8" ht="299.25">
      <c r="A183" s="54"/>
      <c r="B183" s="30" t="s">
        <v>519</v>
      </c>
      <c r="C183" s="29" t="s">
        <v>791</v>
      </c>
      <c r="D183" s="37" t="s">
        <v>20</v>
      </c>
      <c r="E183" s="227">
        <v>55.7</v>
      </c>
      <c r="F183" s="136">
        <v>5102000</v>
      </c>
      <c r="G183" s="125">
        <v>284181400</v>
      </c>
      <c r="H183" s="101"/>
    </row>
    <row r="184" spans="1:8" ht="283.5">
      <c r="A184" s="54"/>
      <c r="B184" s="30" t="s">
        <v>520</v>
      </c>
      <c r="C184" s="29" t="s">
        <v>790</v>
      </c>
      <c r="D184" s="37" t="s">
        <v>20</v>
      </c>
      <c r="E184" s="84">
        <v>2.5</v>
      </c>
      <c r="F184" s="125">
        <v>5670000</v>
      </c>
      <c r="G184" s="125">
        <v>14175000</v>
      </c>
      <c r="H184" s="101"/>
    </row>
    <row r="185" spans="1:8" ht="267.75">
      <c r="A185" s="54"/>
      <c r="B185" s="30" t="s">
        <v>521</v>
      </c>
      <c r="C185" s="29" t="s">
        <v>791</v>
      </c>
      <c r="D185" s="37" t="s">
        <v>20</v>
      </c>
      <c r="E185" s="84">
        <v>150</v>
      </c>
      <c r="F185" s="125">
        <v>5102000</v>
      </c>
      <c r="G185" s="125">
        <v>765300000</v>
      </c>
      <c r="H185" s="101"/>
    </row>
    <row r="186" spans="1:8" ht="267.75">
      <c r="A186" s="61"/>
      <c r="B186" s="30" t="s">
        <v>522</v>
      </c>
      <c r="C186" s="29" t="s">
        <v>789</v>
      </c>
      <c r="D186" s="37" t="s">
        <v>20</v>
      </c>
      <c r="E186" s="50">
        <v>47.9</v>
      </c>
      <c r="F186" s="125">
        <v>5670000</v>
      </c>
      <c r="G186" s="125">
        <v>271593000</v>
      </c>
      <c r="H186" s="97"/>
    </row>
    <row r="187" spans="1:8" ht="220.5">
      <c r="A187" s="54"/>
      <c r="B187" s="30" t="s">
        <v>967</v>
      </c>
      <c r="C187" s="29" t="s">
        <v>790</v>
      </c>
      <c r="D187" s="37" t="s">
        <v>20</v>
      </c>
      <c r="E187" s="84">
        <v>47.8</v>
      </c>
      <c r="F187" s="125">
        <v>5670000</v>
      </c>
      <c r="G187" s="125">
        <v>271026000</v>
      </c>
      <c r="H187" s="101"/>
    </row>
    <row r="188" spans="1:8" ht="267.75">
      <c r="A188" s="54"/>
      <c r="B188" s="30" t="s">
        <v>557</v>
      </c>
      <c r="C188" s="29" t="s">
        <v>791</v>
      </c>
      <c r="D188" s="37" t="s">
        <v>20</v>
      </c>
      <c r="E188" s="84">
        <v>200</v>
      </c>
      <c r="F188" s="125">
        <v>5102000</v>
      </c>
      <c r="G188" s="125">
        <v>1020400000</v>
      </c>
      <c r="H188" s="101"/>
    </row>
    <row r="189" spans="1:8" ht="126">
      <c r="A189" s="54"/>
      <c r="B189" s="55"/>
      <c r="C189" s="29" t="s">
        <v>794</v>
      </c>
      <c r="D189" s="37" t="s">
        <v>20</v>
      </c>
      <c r="E189" s="233">
        <v>800</v>
      </c>
      <c r="F189" s="125">
        <v>5102000</v>
      </c>
      <c r="G189" s="125">
        <v>4081600000</v>
      </c>
      <c r="H189" s="101"/>
    </row>
    <row r="190" spans="1:8" ht="110.25">
      <c r="A190" s="54"/>
      <c r="B190" s="30"/>
      <c r="C190" s="29" t="s">
        <v>795</v>
      </c>
      <c r="D190" s="37" t="s">
        <v>20</v>
      </c>
      <c r="E190" s="84">
        <v>305.4</v>
      </c>
      <c r="F190" s="125">
        <v>14174000</v>
      </c>
      <c r="G190" s="125">
        <v>4328739600</v>
      </c>
      <c r="H190" s="101"/>
    </row>
    <row r="191" spans="1:8" ht="267.75">
      <c r="A191" s="54"/>
      <c r="B191" s="30" t="s">
        <v>524</v>
      </c>
      <c r="C191" s="29" t="s">
        <v>785</v>
      </c>
      <c r="D191" s="37" t="s">
        <v>20</v>
      </c>
      <c r="E191" s="84">
        <v>194</v>
      </c>
      <c r="F191" s="125">
        <v>5003000</v>
      </c>
      <c r="G191" s="125">
        <v>970582000</v>
      </c>
      <c r="H191" s="101"/>
    </row>
    <row r="192" spans="1:8" ht="157.5">
      <c r="A192" s="54"/>
      <c r="B192" s="30" t="s">
        <v>525</v>
      </c>
      <c r="C192" s="29" t="s">
        <v>814</v>
      </c>
      <c r="D192" s="37" t="s">
        <v>20</v>
      </c>
      <c r="E192" s="84">
        <v>40</v>
      </c>
      <c r="F192" s="125">
        <v>8504500</v>
      </c>
      <c r="G192" s="125">
        <v>340180000</v>
      </c>
      <c r="H192" s="101"/>
    </row>
    <row r="193" spans="1:8" ht="283.5">
      <c r="A193" s="54"/>
      <c r="B193" s="30" t="s">
        <v>526</v>
      </c>
      <c r="C193" s="29" t="s">
        <v>970</v>
      </c>
      <c r="D193" s="37" t="s">
        <v>20</v>
      </c>
      <c r="E193" s="84">
        <v>20</v>
      </c>
      <c r="F193" s="125">
        <v>8504500</v>
      </c>
      <c r="G193" s="125">
        <v>170090000</v>
      </c>
      <c r="H193" s="101"/>
    </row>
    <row r="194" spans="1:8" ht="283.5">
      <c r="A194" s="54"/>
      <c r="B194" s="30" t="s">
        <v>527</v>
      </c>
      <c r="C194" s="29" t="s">
        <v>814</v>
      </c>
      <c r="D194" s="37" t="s">
        <v>20</v>
      </c>
      <c r="E194" s="50">
        <v>20</v>
      </c>
      <c r="F194" s="125">
        <v>8504500</v>
      </c>
      <c r="G194" s="125">
        <v>170090000</v>
      </c>
      <c r="H194" s="101"/>
    </row>
    <row r="195" spans="1:8" ht="157.5">
      <c r="A195" s="54"/>
      <c r="B195" s="30" t="s">
        <v>523</v>
      </c>
      <c r="C195" s="29" t="s">
        <v>814</v>
      </c>
      <c r="D195" s="37" t="s">
        <v>20</v>
      </c>
      <c r="E195" s="84">
        <v>95.3</v>
      </c>
      <c r="F195" s="125">
        <v>8504500</v>
      </c>
      <c r="G195" s="125">
        <v>810478850</v>
      </c>
      <c r="H195" s="101"/>
    </row>
    <row r="196" spans="1:8" ht="126">
      <c r="A196" s="54"/>
      <c r="B196" s="62"/>
      <c r="C196" s="29" t="s">
        <v>814</v>
      </c>
      <c r="D196" s="37" t="s">
        <v>20</v>
      </c>
      <c r="E196" s="84">
        <v>18</v>
      </c>
      <c r="F196" s="125">
        <v>8504500</v>
      </c>
      <c r="G196" s="125">
        <v>153081000</v>
      </c>
      <c r="H196" s="101"/>
    </row>
    <row r="197" spans="1:8" ht="126">
      <c r="A197" s="54"/>
      <c r="B197" s="30"/>
      <c r="C197" s="29" t="s">
        <v>814</v>
      </c>
      <c r="D197" s="37" t="s">
        <v>20</v>
      </c>
      <c r="E197" s="84">
        <v>20</v>
      </c>
      <c r="F197" s="125">
        <v>8504500</v>
      </c>
      <c r="G197" s="125">
        <v>170090000</v>
      </c>
      <c r="H197" s="101"/>
    </row>
    <row r="198" spans="1:8" ht="126">
      <c r="A198" s="54"/>
      <c r="B198" s="62" t="s">
        <v>797</v>
      </c>
      <c r="C198" s="29" t="s">
        <v>814</v>
      </c>
      <c r="D198" s="49" t="s">
        <v>20</v>
      </c>
      <c r="E198" s="84">
        <v>18</v>
      </c>
      <c r="F198" s="125">
        <v>8504500</v>
      </c>
      <c r="G198" s="125">
        <v>153081000</v>
      </c>
      <c r="H198" s="101"/>
    </row>
    <row r="199" spans="1:8" ht="126">
      <c r="A199" s="54"/>
      <c r="B199" s="62" t="s">
        <v>236</v>
      </c>
      <c r="C199" s="29" t="s">
        <v>814</v>
      </c>
      <c r="D199" s="37" t="s">
        <v>20</v>
      </c>
      <c r="E199" s="84">
        <v>29</v>
      </c>
      <c r="F199" s="125">
        <v>8504500</v>
      </c>
      <c r="G199" s="125">
        <v>246630500</v>
      </c>
      <c r="H199" s="101"/>
    </row>
    <row r="200" spans="1:8" ht="126">
      <c r="A200" s="54"/>
      <c r="B200" s="55"/>
      <c r="C200" s="29" t="s">
        <v>894</v>
      </c>
      <c r="D200" s="37" t="s">
        <v>20</v>
      </c>
      <c r="E200" s="84">
        <v>15</v>
      </c>
      <c r="F200" s="136">
        <v>8504500</v>
      </c>
      <c r="G200" s="125">
        <v>127567500</v>
      </c>
      <c r="H200" s="101"/>
    </row>
    <row r="201" spans="1:8" ht="126">
      <c r="A201" s="54"/>
      <c r="B201" s="62" t="s">
        <v>278</v>
      </c>
      <c r="C201" s="29" t="s">
        <v>799</v>
      </c>
      <c r="D201" s="37" t="s">
        <v>20</v>
      </c>
      <c r="E201" s="84">
        <v>108</v>
      </c>
      <c r="F201" s="125">
        <v>5102000</v>
      </c>
      <c r="G201" s="125">
        <v>551016000</v>
      </c>
      <c r="H201" s="101"/>
    </row>
    <row r="202" spans="1:8" ht="126">
      <c r="A202" s="54"/>
      <c r="B202" s="62" t="s">
        <v>286</v>
      </c>
      <c r="C202" s="29" t="s">
        <v>814</v>
      </c>
      <c r="D202" s="37" t="s">
        <v>20</v>
      </c>
      <c r="E202" s="84">
        <v>20</v>
      </c>
      <c r="F202" s="125">
        <v>8504500</v>
      </c>
      <c r="G202" s="125">
        <v>170090000</v>
      </c>
      <c r="H202" s="101"/>
    </row>
    <row r="203" spans="1:8" ht="126">
      <c r="A203" s="54"/>
      <c r="B203" s="30" t="s">
        <v>602</v>
      </c>
      <c r="C203" s="29" t="s">
        <v>814</v>
      </c>
      <c r="D203" s="37" t="s">
        <v>20</v>
      </c>
      <c r="E203" s="84">
        <v>1494.1</v>
      </c>
      <c r="F203" s="125">
        <v>8504500</v>
      </c>
      <c r="G203" s="125">
        <v>12706573450</v>
      </c>
      <c r="H203" s="101"/>
    </row>
    <row r="204" spans="1:8" ht="126">
      <c r="A204" s="54"/>
      <c r="B204" s="62" t="s">
        <v>298</v>
      </c>
      <c r="C204" s="29" t="s">
        <v>814</v>
      </c>
      <c r="D204" s="37" t="s">
        <v>20</v>
      </c>
      <c r="E204" s="84">
        <v>154.1</v>
      </c>
      <c r="F204" s="125">
        <v>8504500</v>
      </c>
      <c r="G204" s="125">
        <v>1310543450</v>
      </c>
      <c r="H204" s="101"/>
    </row>
    <row r="205" spans="1:8" ht="126">
      <c r="A205" s="61"/>
      <c r="B205" s="62" t="s">
        <v>299</v>
      </c>
      <c r="C205" s="29" t="s">
        <v>814</v>
      </c>
      <c r="D205" s="37" t="s">
        <v>20</v>
      </c>
      <c r="E205" s="60">
        <v>143.5</v>
      </c>
      <c r="F205" s="125">
        <v>8504500</v>
      </c>
      <c r="G205" s="125">
        <v>1220395750</v>
      </c>
      <c r="H205" s="97"/>
    </row>
    <row r="206" spans="1:8" ht="157.5">
      <c r="A206" s="54"/>
      <c r="B206" s="30" t="s">
        <v>525</v>
      </c>
      <c r="C206" s="48" t="s">
        <v>802</v>
      </c>
      <c r="D206" s="37" t="s">
        <v>20</v>
      </c>
      <c r="E206" s="84">
        <v>90.8</v>
      </c>
      <c r="F206" s="125">
        <v>14174000</v>
      </c>
      <c r="G206" s="125">
        <v>1286999200</v>
      </c>
      <c r="H206" s="101"/>
    </row>
    <row r="207" spans="1:8" ht="94.5">
      <c r="A207" s="54"/>
      <c r="B207" s="62" t="s">
        <v>18</v>
      </c>
      <c r="C207" s="48" t="s">
        <v>803</v>
      </c>
      <c r="D207" s="37" t="s">
        <v>20</v>
      </c>
      <c r="E207" s="84">
        <v>243.04</v>
      </c>
      <c r="F207" s="125">
        <v>14174000</v>
      </c>
      <c r="G207" s="125">
        <v>3444848960</v>
      </c>
      <c r="H207" s="101"/>
    </row>
    <row r="208" spans="1:8" ht="267.75">
      <c r="A208" s="61"/>
      <c r="B208" s="30" t="s">
        <v>534</v>
      </c>
      <c r="C208" s="29" t="s">
        <v>897</v>
      </c>
      <c r="D208" s="37" t="s">
        <v>20</v>
      </c>
      <c r="E208" s="50">
        <v>160</v>
      </c>
      <c r="F208" s="125">
        <v>6791600</v>
      </c>
      <c r="G208" s="125">
        <v>1086656000</v>
      </c>
      <c r="H208" s="97"/>
    </row>
    <row r="209" spans="1:8" ht="126">
      <c r="A209" s="250"/>
      <c r="B209" s="222"/>
      <c r="C209" s="29" t="s">
        <v>816</v>
      </c>
      <c r="D209" s="37" t="s">
        <v>20</v>
      </c>
      <c r="E209" s="60">
        <v>3.7</v>
      </c>
      <c r="F209" s="125">
        <v>10187500</v>
      </c>
      <c r="G209" s="125">
        <v>37693750</v>
      </c>
      <c r="H209" s="97"/>
    </row>
    <row r="210" spans="1:8" ht="78.75">
      <c r="A210" s="54"/>
      <c r="B210" s="62" t="s">
        <v>329</v>
      </c>
      <c r="C210" s="48" t="s">
        <v>807</v>
      </c>
      <c r="D210" s="37" t="s">
        <v>20</v>
      </c>
      <c r="E210" s="84">
        <v>6.300000000000001</v>
      </c>
      <c r="F210" s="125">
        <v>33958000</v>
      </c>
      <c r="G210" s="125">
        <v>213935400.00000003</v>
      </c>
      <c r="H210" s="101"/>
    </row>
    <row r="211" spans="1:8" ht="78.75">
      <c r="A211" s="54"/>
      <c r="B211" s="62" t="s">
        <v>337</v>
      </c>
      <c r="C211" s="48" t="s">
        <v>806</v>
      </c>
      <c r="D211" s="37" t="s">
        <v>20</v>
      </c>
      <c r="E211" s="84">
        <v>3.0999999999999996</v>
      </c>
      <c r="F211" s="125">
        <v>33958000</v>
      </c>
      <c r="G211" s="125">
        <v>105269799.99999999</v>
      </c>
      <c r="H211" s="101"/>
    </row>
    <row r="212" spans="1:8" ht="283.5">
      <c r="A212" s="54"/>
      <c r="B212" s="30" t="s">
        <v>540</v>
      </c>
      <c r="C212" s="29" t="s">
        <v>897</v>
      </c>
      <c r="D212" s="37" t="s">
        <v>20</v>
      </c>
      <c r="E212" s="84">
        <v>160</v>
      </c>
      <c r="F212" s="125">
        <v>6791600</v>
      </c>
      <c r="G212" s="125">
        <v>1086656000</v>
      </c>
      <c r="H212" s="101"/>
    </row>
    <row r="213" spans="1:8" ht="267.75">
      <c r="A213" s="54"/>
      <c r="B213" s="30" t="s">
        <v>541</v>
      </c>
      <c r="C213" s="48" t="s">
        <v>806</v>
      </c>
      <c r="D213" s="37" t="s">
        <v>20</v>
      </c>
      <c r="E213" s="60">
        <v>4.699999999999999</v>
      </c>
      <c r="F213" s="125">
        <v>33958000</v>
      </c>
      <c r="G213" s="130">
        <v>159602599.99999997</v>
      </c>
      <c r="H213" s="101"/>
    </row>
    <row r="214" spans="1:8" ht="78.75">
      <c r="A214" s="54"/>
      <c r="B214" s="217"/>
      <c r="C214" s="48" t="s">
        <v>806</v>
      </c>
      <c r="D214" s="37" t="s">
        <v>20</v>
      </c>
      <c r="E214" s="84">
        <v>0.6</v>
      </c>
      <c r="F214" s="125">
        <v>33958000</v>
      </c>
      <c r="G214" s="125">
        <v>20374800</v>
      </c>
      <c r="H214" s="101"/>
    </row>
    <row r="215" spans="1:8" ht="157.5">
      <c r="A215" s="54"/>
      <c r="B215" s="30" t="s">
        <v>982</v>
      </c>
      <c r="C215" s="29" t="s">
        <v>896</v>
      </c>
      <c r="D215" s="37" t="s">
        <v>20</v>
      </c>
      <c r="E215" s="77">
        <v>64.6</v>
      </c>
      <c r="F215" s="125">
        <v>6791600</v>
      </c>
      <c r="G215" s="125">
        <v>438737359.99999994</v>
      </c>
      <c r="H215" s="101"/>
    </row>
    <row r="216" spans="1:8" ht="110.25">
      <c r="A216" s="54"/>
      <c r="B216" s="55"/>
      <c r="C216" s="29" t="s">
        <v>896</v>
      </c>
      <c r="D216" s="37" t="s">
        <v>20</v>
      </c>
      <c r="E216" s="84">
        <v>76.60000000000001</v>
      </c>
      <c r="F216" s="125">
        <v>6791600</v>
      </c>
      <c r="G216" s="125">
        <v>520236560.00000006</v>
      </c>
      <c r="H216" s="101"/>
    </row>
    <row r="217" spans="1:8" ht="252">
      <c r="A217" s="54"/>
      <c r="B217" s="30" t="s">
        <v>543</v>
      </c>
      <c r="C217" s="48" t="s">
        <v>806</v>
      </c>
      <c r="D217" s="37" t="s">
        <v>20</v>
      </c>
      <c r="E217" s="84">
        <v>1.9000000000000004</v>
      </c>
      <c r="F217" s="125">
        <v>33958000</v>
      </c>
      <c r="G217" s="125">
        <v>64520200.000000015</v>
      </c>
      <c r="H217" s="101"/>
    </row>
    <row r="218" spans="1:8" ht="78.75">
      <c r="A218" s="54"/>
      <c r="B218" s="62"/>
      <c r="C218" s="48" t="s">
        <v>806</v>
      </c>
      <c r="D218" s="37" t="s">
        <v>20</v>
      </c>
      <c r="E218" s="84">
        <v>0.9</v>
      </c>
      <c r="F218" s="125">
        <v>33958000</v>
      </c>
      <c r="G218" s="125">
        <v>30562200</v>
      </c>
      <c r="H218" s="101"/>
    </row>
    <row r="219" spans="1:8" ht="110.25">
      <c r="A219" s="54"/>
      <c r="B219" s="30"/>
      <c r="C219" s="29" t="s">
        <v>897</v>
      </c>
      <c r="D219" s="37" t="s">
        <v>20</v>
      </c>
      <c r="E219" s="60">
        <v>28.200000000000003</v>
      </c>
      <c r="F219" s="125">
        <v>6791600</v>
      </c>
      <c r="G219" s="125">
        <v>191523120.00000003</v>
      </c>
      <c r="H219" s="101"/>
    </row>
    <row r="220" spans="1:8" ht="78.75">
      <c r="A220" s="54"/>
      <c r="B220" s="30"/>
      <c r="C220" s="29" t="s">
        <v>806</v>
      </c>
      <c r="D220" s="37" t="s">
        <v>20</v>
      </c>
      <c r="E220" s="84">
        <v>2.2</v>
      </c>
      <c r="F220" s="125">
        <v>33958000</v>
      </c>
      <c r="G220" s="125">
        <v>74707600</v>
      </c>
      <c r="H220" s="101"/>
    </row>
    <row r="221" spans="1:8" ht="110.25">
      <c r="A221" s="54"/>
      <c r="B221" s="62" t="s">
        <v>366</v>
      </c>
      <c r="C221" s="29" t="s">
        <v>818</v>
      </c>
      <c r="D221" s="37" t="s">
        <v>20</v>
      </c>
      <c r="E221" s="77">
        <v>5.000000000000002</v>
      </c>
      <c r="F221" s="125">
        <v>10187500</v>
      </c>
      <c r="G221" s="125">
        <v>50937500.000000015</v>
      </c>
      <c r="H221" s="101"/>
    </row>
    <row r="222" spans="1:8" ht="110.25">
      <c r="A222" s="54"/>
      <c r="B222" s="62" t="s">
        <v>367</v>
      </c>
      <c r="C222" s="29" t="s">
        <v>817</v>
      </c>
      <c r="D222" s="37" t="s">
        <v>20</v>
      </c>
      <c r="E222" s="84">
        <v>4.399999999999999</v>
      </c>
      <c r="F222" s="125">
        <v>10187500</v>
      </c>
      <c r="G222" s="125">
        <v>44824999.999999985</v>
      </c>
      <c r="H222" s="101"/>
    </row>
    <row r="223" spans="1:8" ht="126">
      <c r="A223" s="54"/>
      <c r="B223" s="30"/>
      <c r="C223" s="29" t="s">
        <v>816</v>
      </c>
      <c r="D223" s="37" t="s">
        <v>20</v>
      </c>
      <c r="E223" s="84">
        <v>3.0999999999999996</v>
      </c>
      <c r="F223" s="125">
        <v>10187500</v>
      </c>
      <c r="G223" s="125">
        <v>31581249.999999996</v>
      </c>
      <c r="H223" s="101"/>
    </row>
    <row r="224" spans="1:8" ht="110.25">
      <c r="A224" s="54"/>
      <c r="B224" s="62"/>
      <c r="C224" s="29" t="s">
        <v>817</v>
      </c>
      <c r="D224" s="37" t="s">
        <v>20</v>
      </c>
      <c r="E224" s="84">
        <v>5.6</v>
      </c>
      <c r="F224" s="125">
        <v>10187500</v>
      </c>
      <c r="G224" s="125">
        <v>57050000</v>
      </c>
      <c r="H224" s="101"/>
    </row>
    <row r="225" spans="1:8" ht="267.75">
      <c r="A225" s="54"/>
      <c r="B225" s="30" t="s">
        <v>555</v>
      </c>
      <c r="C225" s="29" t="s">
        <v>803</v>
      </c>
      <c r="D225" s="37" t="s">
        <v>20</v>
      </c>
      <c r="E225" s="84">
        <v>66.6</v>
      </c>
      <c r="F225" s="125">
        <v>14174000</v>
      </c>
      <c r="G225" s="125">
        <v>943988399.9999999</v>
      </c>
      <c r="H225" s="101"/>
    </row>
    <row r="226" spans="1:8" ht="252">
      <c r="A226" s="54"/>
      <c r="B226" s="30" t="s">
        <v>556</v>
      </c>
      <c r="C226" s="29" t="s">
        <v>820</v>
      </c>
      <c r="D226" s="37" t="s">
        <v>20</v>
      </c>
      <c r="E226" s="84">
        <v>198.1</v>
      </c>
      <c r="F226" s="125">
        <v>2041000</v>
      </c>
      <c r="G226" s="125">
        <v>404322100</v>
      </c>
      <c r="H226" s="101"/>
    </row>
    <row r="227" spans="1:8" ht="157.5">
      <c r="A227" s="61"/>
      <c r="B227" s="30" t="s">
        <v>525</v>
      </c>
      <c r="C227" s="29" t="s">
        <v>799</v>
      </c>
      <c r="D227" s="37" t="s">
        <v>20</v>
      </c>
      <c r="E227" s="60">
        <v>330</v>
      </c>
      <c r="F227" s="130">
        <v>5102000</v>
      </c>
      <c r="G227" s="125">
        <v>1683660000</v>
      </c>
      <c r="H227" s="97"/>
    </row>
    <row r="228" spans="1:8" ht="267.75">
      <c r="A228" s="54"/>
      <c r="B228" s="30" t="s">
        <v>558</v>
      </c>
      <c r="C228" s="29" t="s">
        <v>821</v>
      </c>
      <c r="D228" s="37" t="s">
        <v>20</v>
      </c>
      <c r="E228" s="84">
        <v>49.4</v>
      </c>
      <c r="F228" s="125">
        <v>31014000</v>
      </c>
      <c r="G228" s="125">
        <v>1532091600</v>
      </c>
      <c r="H228" s="101"/>
    </row>
    <row r="229" spans="1:8" ht="110.25">
      <c r="A229" s="61"/>
      <c r="B229" s="30"/>
      <c r="C229" s="29" t="s">
        <v>896</v>
      </c>
      <c r="D229" s="37" t="s">
        <v>20</v>
      </c>
      <c r="E229" s="50">
        <v>52.50000000000001</v>
      </c>
      <c r="F229" s="125">
        <v>6791600</v>
      </c>
      <c r="G229" s="125">
        <v>356559000.00000006</v>
      </c>
      <c r="H229" s="97"/>
    </row>
    <row r="230" spans="1:8" ht="252">
      <c r="A230" s="54"/>
      <c r="B230" s="30" t="s">
        <v>992</v>
      </c>
      <c r="C230" s="29" t="s">
        <v>799</v>
      </c>
      <c r="D230" s="37" t="s">
        <v>20</v>
      </c>
      <c r="E230" s="84">
        <v>100</v>
      </c>
      <c r="F230" s="125">
        <v>5102000</v>
      </c>
      <c r="G230" s="125">
        <v>510200000</v>
      </c>
      <c r="H230" s="101"/>
    </row>
    <row r="231" spans="1:8" ht="283.5">
      <c r="A231" s="61"/>
      <c r="B231" s="30" t="s">
        <v>560</v>
      </c>
      <c r="C231" s="29" t="s">
        <v>820</v>
      </c>
      <c r="D231" s="37" t="s">
        <v>20</v>
      </c>
      <c r="E231" s="84">
        <v>573</v>
      </c>
      <c r="F231" s="125">
        <v>2041000</v>
      </c>
      <c r="G231" s="125">
        <v>1169493000</v>
      </c>
      <c r="H231" s="97"/>
    </row>
    <row r="232" spans="1:8" ht="110.25">
      <c r="A232" s="61"/>
      <c r="B232" s="62" t="s">
        <v>461</v>
      </c>
      <c r="C232" s="29" t="s">
        <v>896</v>
      </c>
      <c r="D232" s="37" t="s">
        <v>20</v>
      </c>
      <c r="E232" s="60">
        <v>40.2</v>
      </c>
      <c r="F232" s="130">
        <v>6791600</v>
      </c>
      <c r="G232" s="125">
        <v>273022320</v>
      </c>
      <c r="H232" s="97"/>
    </row>
    <row r="233" spans="1:8" ht="267.75">
      <c r="A233" s="61"/>
      <c r="B233" s="30" t="s">
        <v>562</v>
      </c>
      <c r="C233" s="29" t="s">
        <v>799</v>
      </c>
      <c r="D233" s="37" t="s">
        <v>20</v>
      </c>
      <c r="E233" s="50">
        <v>80</v>
      </c>
      <c r="F233" s="125">
        <v>5102000</v>
      </c>
      <c r="G233" s="125">
        <v>408160000</v>
      </c>
      <c r="H233" s="139"/>
    </row>
    <row r="234" spans="1:8" ht="267.75">
      <c r="A234" s="61"/>
      <c r="B234" s="182" t="s">
        <v>563</v>
      </c>
      <c r="C234" s="29" t="s">
        <v>995</v>
      </c>
      <c r="D234" s="37" t="s">
        <v>20</v>
      </c>
      <c r="E234" s="50">
        <v>82</v>
      </c>
      <c r="F234" s="125">
        <v>31014000</v>
      </c>
      <c r="G234" s="125">
        <v>2543148000</v>
      </c>
      <c r="H234" s="97"/>
    </row>
    <row r="235" spans="1:8" ht="173.25">
      <c r="A235" s="61"/>
      <c r="B235" s="30" t="s">
        <v>564</v>
      </c>
      <c r="C235" s="29" t="s">
        <v>799</v>
      </c>
      <c r="D235" s="37" t="s">
        <v>20</v>
      </c>
      <c r="E235" s="50">
        <v>100</v>
      </c>
      <c r="F235" s="125">
        <v>5102000</v>
      </c>
      <c r="G235" s="125">
        <v>510200000</v>
      </c>
      <c r="H235" s="97"/>
    </row>
    <row r="236" spans="1:8" ht="315">
      <c r="A236" s="61"/>
      <c r="B236" s="30" t="s">
        <v>893</v>
      </c>
      <c r="C236" s="48" t="s">
        <v>803</v>
      </c>
      <c r="D236" s="37" t="s">
        <v>20</v>
      </c>
      <c r="E236" s="50">
        <v>581.9</v>
      </c>
      <c r="F236" s="125">
        <v>14174000</v>
      </c>
      <c r="G236" s="125">
        <v>8247850600</v>
      </c>
      <c r="H236" s="97"/>
    </row>
    <row r="237" spans="1:8" ht="267.75">
      <c r="A237" s="61"/>
      <c r="B237" s="30" t="s">
        <v>996</v>
      </c>
      <c r="C237" s="48" t="s">
        <v>789</v>
      </c>
      <c r="D237" s="37" t="s">
        <v>20</v>
      </c>
      <c r="E237" s="60">
        <v>79.3</v>
      </c>
      <c r="F237" s="130">
        <v>5670000</v>
      </c>
      <c r="G237" s="130">
        <v>449631000</v>
      </c>
      <c r="H237" s="97"/>
    </row>
    <row r="238" spans="1:8" ht="110.25">
      <c r="A238" s="61"/>
      <c r="B238" s="30" t="s">
        <v>602</v>
      </c>
      <c r="C238" s="48" t="s">
        <v>785</v>
      </c>
      <c r="D238" s="37" t="s">
        <v>20</v>
      </c>
      <c r="E238" s="50">
        <v>46.6</v>
      </c>
      <c r="F238" s="125">
        <v>5003000</v>
      </c>
      <c r="G238" s="130">
        <v>233139800</v>
      </c>
      <c r="H238" s="97"/>
    </row>
    <row r="239" spans="1:8" ht="110.25">
      <c r="A239" s="61"/>
      <c r="B239" s="30" t="s">
        <v>738</v>
      </c>
      <c r="C239" s="48" t="s">
        <v>787</v>
      </c>
      <c r="D239" s="37" t="s">
        <v>20</v>
      </c>
      <c r="E239" s="50">
        <v>23</v>
      </c>
      <c r="F239" s="125">
        <v>5003000</v>
      </c>
      <c r="G239" s="130">
        <v>115069000</v>
      </c>
      <c r="H239" s="97"/>
    </row>
    <row r="240" spans="5:7" ht="16.5">
      <c r="E240" s="180">
        <f>SUM(E171:E239)</f>
        <v>9221.340000000002</v>
      </c>
      <c r="G240" s="157">
        <f>SUM(G171:G239)</f>
        <v>68881771020</v>
      </c>
    </row>
  </sheetData>
  <sheetProtection/>
  <conditionalFormatting sqref="B23">
    <cfRule type="dataBar" priority="2" dxfId="0">
      <dataBar minLength="0" maxLength="100">
        <cfvo type="min"/>
        <cfvo type="max"/>
        <color rgb="FF638EC6"/>
      </dataBar>
      <extLst>
        <ext xmlns:x14="http://schemas.microsoft.com/office/spreadsheetml/2009/9/main" uri="{B025F937-C7B1-47D3-B67F-A62EFF666E3E}">
          <x14:id>{38d0b03b-fc07-471e-be56-3beb8a6308d6}</x14:id>
        </ext>
      </extLst>
    </cfRule>
  </conditionalFormatting>
  <conditionalFormatting sqref="D179">
    <cfRule type="dataBar" priority="1" dxfId="0">
      <dataBar minLength="0" maxLength="100">
        <cfvo type="min"/>
        <cfvo type="max"/>
        <color rgb="FF638EC6"/>
      </dataBar>
      <extLst>
        <ext xmlns:x14="http://schemas.microsoft.com/office/spreadsheetml/2009/9/main" uri="{B025F937-C7B1-47D3-B67F-A62EFF666E3E}">
          <x14:id>{792d1897-6fdf-4912-9dfc-819f2739fa79}</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38d0b03b-fc07-471e-be56-3beb8a6308d6}">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92d1897-6fdf-4912-9dfc-819f2739fa79}">
            <x14:dataBar minLength="0" maxLength="100" gradient="0">
              <x14:cfvo type="min"/>
              <x14:cfvo type="max"/>
              <x14:negativeFillColor rgb="FFFF0000"/>
              <x14:axisColor rgb="FF000000"/>
            </x14:dataBar>
            <x14:dxf/>
          </x14:cfRule>
          <xm:sqref>D179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2023-05-04T09:18:20Z</cp:lastPrinted>
  <dcterms:created xsi:type="dcterms:W3CDTF">2012-04-11T02:12:04Z</dcterms:created>
  <dcterms:modified xsi:type="dcterms:W3CDTF">2023-05-08T07:59:11Z</dcterms:modified>
  <cp:category/>
  <cp:version/>
  <cp:contentType/>
  <cp:contentStatus/>
</cp:coreProperties>
</file>